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drawings/drawing5.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C:\Users\PC\Desktop\PAIE 2026\3. HEURES SUPPLEMENTAIRES\2025\"/>
    </mc:Choice>
  </mc:AlternateContent>
  <xr:revisionPtr revIDLastSave="0" documentId="13_ncr:1_{F8EEB9EB-B8A2-4B38-AC13-C7CEFF9BF4C0}" xr6:coauthVersionLast="47" xr6:coauthVersionMax="47" xr10:uidLastSave="{00000000-0000-0000-0000-000000000000}"/>
  <bookViews>
    <workbookView xWindow="-120" yWindow="-120" windowWidth="20730" windowHeight="11040" firstSheet="3" activeTab="4" xr2:uid="{00000000-000D-0000-FFFF-FFFF00000000}"/>
  </bookViews>
  <sheets>
    <sheet name="PRESENTATION " sheetId="64" r:id="rId1"/>
    <sheet name="INTRODUCTION " sheetId="66" r:id="rId2"/>
    <sheet name="EXPLICATIONS FEUILLE HEURES SUP" sheetId="87" r:id="rId3"/>
    <sheet name="ENONCE " sheetId="91" r:id="rId4"/>
    <sheet name="MASQUE DE SAISIE " sheetId="55" r:id="rId5"/>
    <sheet name="BP VERSION JANVIER 2023" sheetId="31" r:id="rId6"/>
    <sheet name="BP FORMAT JUILLET 2023" sheetId="51" r:id="rId7"/>
    <sheet name="FEUILLE DE CONTROLE " sheetId="67" r:id="rId8"/>
    <sheet name="BP 2025" sheetId="89" r:id="rId9"/>
    <sheet name="HEURES SUPPLEMENTAIRES " sheetId="33" r:id="rId10"/>
    <sheet name="TABLE DES TAUX 2025 " sheetId="50" r:id="rId11"/>
    <sheet name="TR Matrice Net Imposable " sheetId="77" r:id="rId12"/>
    <sheet name="TR Matrice Cotisations " sheetId="78" r:id="rId13"/>
    <sheet name="TRAME DE BP AMELIOREE  " sheetId="88" r:id="rId14"/>
    <sheet name="RED. GEN. de COT. Janv" sheetId="60" r:id="rId15"/>
    <sheet name="Red Gen de CoBP Format Juillet" sheetId="52" r:id="rId16"/>
    <sheet name="TAUX NEUTRE " sheetId="86" r:id="rId17"/>
    <sheet name="TAUX NEUTRE JANVIER  " sheetId="24" r:id="rId18"/>
    <sheet name="TAUX NEUTRE MAI " sheetId="85" r:id="rId19"/>
    <sheet name="MATRICE IJSS ABSENCE " sheetId="65" r:id="rId20"/>
    <sheet name="MATRICE IJSS MALADIE" sheetId="80" r:id="rId21"/>
    <sheet name="MATRICE IJSS MATERNITE " sheetId="81" r:id="rId22"/>
    <sheet name="MATRICE ISS AT " sheetId="82" r:id="rId23"/>
  </sheets>
  <externalReferences>
    <externalReference r:id="rId24"/>
    <externalReference r:id="rId25"/>
    <externalReference r:id="rId26"/>
    <externalReference r:id="rId27"/>
    <externalReference r:id="rId28"/>
  </externalReferences>
  <definedNames>
    <definedName name="TABLE2019">#REF!</definedName>
    <definedName name="TABLE201NN">#REF!</definedName>
    <definedName name="TABLE20NN">#REF!</definedName>
    <definedName name="TABLETAUX">#REF!</definedName>
    <definedName name="TABLETAUX1">'[1]TABLE DES TAUX 2025 '!$A$1:$D$7</definedName>
    <definedName name="TAUX2015">#REF!</definedName>
    <definedName name="TAUX2023">'TABLE DES TAUX 2025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67" l="1"/>
  <c r="G37" i="67"/>
  <c r="G36" i="67"/>
  <c r="D131" i="33"/>
  <c r="D130" i="33"/>
  <c r="B10" i="51"/>
  <c r="C33" i="51"/>
  <c r="J23" i="51"/>
  <c r="J24" i="89" s="1"/>
  <c r="G21" i="51"/>
  <c r="J20" i="51"/>
  <c r="I20" i="51"/>
  <c r="I21" i="51" s="1"/>
  <c r="I22" i="51" s="1"/>
  <c r="J22" i="51" s="1"/>
  <c r="G20" i="51"/>
  <c r="J18" i="51"/>
  <c r="J19" i="89" s="1"/>
  <c r="J13" i="51"/>
  <c r="G13" i="51"/>
  <c r="I13" i="51" s="1"/>
  <c r="J23" i="31"/>
  <c r="G17" i="67" s="1"/>
  <c r="G21" i="31"/>
  <c r="I20" i="31"/>
  <c r="J20" i="31"/>
  <c r="G20" i="31"/>
  <c r="J13" i="31"/>
  <c r="G13" i="31"/>
  <c r="I13" i="31" s="1"/>
  <c r="D78" i="91"/>
  <c r="F35" i="91"/>
  <c r="E39" i="91" s="1"/>
  <c r="B31" i="91"/>
  <c r="B12" i="89"/>
  <c r="C33" i="31"/>
  <c r="I19" i="31"/>
  <c r="J19" i="31" s="1"/>
  <c r="J18" i="31"/>
  <c r="E118" i="55"/>
  <c r="F118" i="55" s="1"/>
  <c r="F117" i="55"/>
  <c r="E117" i="55"/>
  <c r="H22" i="55"/>
  <c r="C76" i="89"/>
  <c r="C75" i="89"/>
  <c r="I54" i="89"/>
  <c r="G52" i="89"/>
  <c r="G53" i="89"/>
  <c r="G54" i="89"/>
  <c r="G55" i="89"/>
  <c r="F54" i="89"/>
  <c r="F55" i="89"/>
  <c r="E52" i="89"/>
  <c r="E53" i="89"/>
  <c r="E54" i="89"/>
  <c r="E55" i="89"/>
  <c r="C52" i="89"/>
  <c r="C53" i="89"/>
  <c r="C54" i="89"/>
  <c r="F40" i="89"/>
  <c r="I45" i="89"/>
  <c r="F45" i="89"/>
  <c r="E44" i="89"/>
  <c r="E45" i="89"/>
  <c r="G122" i="89"/>
  <c r="G123" i="89"/>
  <c r="G124" i="89"/>
  <c r="G125" i="89"/>
  <c r="G126" i="89"/>
  <c r="G127" i="89"/>
  <c r="G128" i="89"/>
  <c r="G129" i="89"/>
  <c r="G121" i="89"/>
  <c r="E65" i="89"/>
  <c r="E66" i="89"/>
  <c r="E67" i="89"/>
  <c r="E68" i="89"/>
  <c r="E64" i="89"/>
  <c r="F57" i="89"/>
  <c r="E49" i="89"/>
  <c r="F49" i="89"/>
  <c r="F48" i="89"/>
  <c r="E48" i="89"/>
  <c r="C40" i="89"/>
  <c r="G40" i="89" s="1"/>
  <c r="C42" i="89"/>
  <c r="B9" i="89"/>
  <c r="J15" i="89"/>
  <c r="J16" i="89"/>
  <c r="J17" i="89"/>
  <c r="J18" i="89"/>
  <c r="J25" i="89"/>
  <c r="J26" i="89"/>
  <c r="J27" i="89"/>
  <c r="J28" i="89"/>
  <c r="J29" i="89"/>
  <c r="J30" i="89"/>
  <c r="J31" i="89"/>
  <c r="J32" i="89"/>
  <c r="J33" i="89"/>
  <c r="C109" i="89"/>
  <c r="C100" i="89"/>
  <c r="F41" i="89"/>
  <c r="E41" i="89"/>
  <c r="F39" i="89"/>
  <c r="F38" i="89"/>
  <c r="E9" i="78"/>
  <c r="D64" i="50"/>
  <c r="D62" i="50"/>
  <c r="D125" i="88"/>
  <c r="D124" i="88"/>
  <c r="C124" i="88"/>
  <c r="D123" i="88"/>
  <c r="D122" i="88"/>
  <c r="C122" i="88"/>
  <c r="D121" i="88"/>
  <c r="C121" i="88"/>
  <c r="D120" i="88"/>
  <c r="D119" i="88"/>
  <c r="C119" i="88"/>
  <c r="D118" i="88"/>
  <c r="D117" i="88"/>
  <c r="D116" i="88"/>
  <c r="E116" i="88" s="1"/>
  <c r="C116" i="88"/>
  <c r="D110" i="88"/>
  <c r="C106" i="88"/>
  <c r="D106" i="88" s="1"/>
  <c r="D101" i="88"/>
  <c r="C97" i="88"/>
  <c r="D97" i="88" s="1"/>
  <c r="B91" i="88"/>
  <c r="B90" i="88"/>
  <c r="B89" i="88"/>
  <c r="B88" i="88"/>
  <c r="F41" i="88"/>
  <c r="I41" i="88" s="1"/>
  <c r="E41" i="88"/>
  <c r="G41" i="88" s="1"/>
  <c r="I40" i="88"/>
  <c r="G40" i="88"/>
  <c r="F39" i="88"/>
  <c r="E39" i="88"/>
  <c r="C39" i="88"/>
  <c r="I38" i="88"/>
  <c r="G38" i="88"/>
  <c r="G37" i="88"/>
  <c r="F37" i="88"/>
  <c r="I37" i="88" s="1"/>
  <c r="F36" i="88"/>
  <c r="C36" i="88"/>
  <c r="J32" i="88"/>
  <c r="C118" i="88" s="1"/>
  <c r="E118" i="88" s="1"/>
  <c r="I20" i="88"/>
  <c r="G20" i="88"/>
  <c r="I12" i="88"/>
  <c r="D118" i="31"/>
  <c r="D117" i="31"/>
  <c r="D116" i="31"/>
  <c r="D115" i="31"/>
  <c r="D110" i="31"/>
  <c r="D111" i="31"/>
  <c r="D112" i="31"/>
  <c r="D113" i="31"/>
  <c r="D114" i="31"/>
  <c r="D122" i="51"/>
  <c r="D123" i="51"/>
  <c r="D124" i="51"/>
  <c r="D125" i="51"/>
  <c r="D126" i="51"/>
  <c r="D127" i="51"/>
  <c r="D121" i="51"/>
  <c r="D128" i="51"/>
  <c r="D129" i="51"/>
  <c r="D34" i="50"/>
  <c r="D33" i="50"/>
  <c r="D130" i="51"/>
  <c r="J21" i="51" l="1"/>
  <c r="B10" i="31"/>
  <c r="I19" i="51"/>
  <c r="J19" i="51" s="1"/>
  <c r="J33" i="51" s="1"/>
  <c r="E40" i="91"/>
  <c r="F40" i="91" s="1"/>
  <c r="F39" i="91"/>
  <c r="G42" i="89"/>
  <c r="E119" i="88"/>
  <c r="E124" i="88"/>
  <c r="I36" i="88"/>
  <c r="E121" i="88"/>
  <c r="G39" i="88"/>
  <c r="E122" i="88"/>
  <c r="G36" i="88"/>
  <c r="I39" i="88"/>
  <c r="C120" i="88" s="1"/>
  <c r="E120" i="88" s="1"/>
  <c r="D105" i="88"/>
  <c r="E108" i="88" s="1"/>
  <c r="C117" i="88"/>
  <c r="E117" i="88" s="1"/>
  <c r="E126" i="88" s="1"/>
  <c r="C125" i="88"/>
  <c r="E125" i="88" s="1"/>
  <c r="C123" i="88"/>
  <c r="E123" i="88" s="1"/>
  <c r="D96" i="88"/>
  <c r="D98" i="88" s="1"/>
  <c r="F41" i="91" l="1"/>
  <c r="J21" i="89"/>
  <c r="I21" i="31"/>
  <c r="J14" i="89"/>
  <c r="F45" i="91" l="1"/>
  <c r="E41" i="91"/>
  <c r="J23" i="89"/>
  <c r="I22" i="31"/>
  <c r="J22" i="31" s="1"/>
  <c r="J33" i="31" s="1"/>
  <c r="J21" i="31"/>
  <c r="I22" i="89"/>
  <c r="I14" i="89"/>
  <c r="E6" i="60"/>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60" i="80"/>
  <c r="B16" i="81"/>
  <c r="C47" i="80"/>
  <c r="C14" i="80"/>
  <c r="E27" i="85" l="1"/>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H30" i="81" l="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E5" i="78" l="1"/>
  <c r="C6" i="77" s="1"/>
  <c r="E7" i="78"/>
  <c r="C8" i="77" s="1"/>
  <c r="C18" i="77" s="1"/>
  <c r="E21" i="78"/>
  <c r="E19" i="78" l="1"/>
  <c r="E25" i="78" s="1"/>
  <c r="E17" i="78"/>
  <c r="E15" i="78"/>
  <c r="G15" i="78" s="1"/>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14" i="65"/>
  <c r="C45"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E78" i="50"/>
  <c r="D78" i="50"/>
  <c r="E72" i="50"/>
  <c r="D72" i="50"/>
  <c r="C72" i="50"/>
  <c r="B72" i="50"/>
  <c r="F59" i="50"/>
  <c r="C59" i="50"/>
  <c r="F58" i="50"/>
  <c r="C58" i="50"/>
  <c r="C57" i="50"/>
  <c r="C56" i="50"/>
  <c r="G33" i="65" l="1"/>
  <c r="G34" i="65" s="1"/>
  <c r="G35" i="65" l="1"/>
  <c r="G36" i="65"/>
  <c r="G47" i="51" l="1"/>
  <c r="G48" i="51"/>
  <c r="F80" i="51"/>
  <c r="G79" i="89" s="1"/>
  <c r="G79" i="51"/>
  <c r="I78" i="89" s="1"/>
  <c r="F79" i="51"/>
  <c r="G78" i="89" s="1"/>
  <c r="G13" i="67" l="1"/>
  <c r="D75" i="51" l="1"/>
  <c r="E74" i="89" s="1"/>
  <c r="E74" i="51"/>
  <c r="F73" i="89" s="1"/>
  <c r="D74" i="51"/>
  <c r="E73" i="89" s="1"/>
  <c r="E43" i="51"/>
  <c r="F43" i="89" s="1"/>
  <c r="D43" i="51"/>
  <c r="E43" i="89" s="1"/>
  <c r="E40" i="51"/>
  <c r="D40" i="51"/>
  <c r="D41" i="31"/>
  <c r="E38" i="31"/>
  <c r="D38" i="31"/>
  <c r="E40" i="31"/>
  <c r="D40" i="31"/>
  <c r="E39" i="31"/>
  <c r="D39" i="31"/>
  <c r="A145" i="33" l="1"/>
  <c r="G22" i="89"/>
  <c r="E89" i="33"/>
  <c r="E88" i="33"/>
  <c r="D10" i="51"/>
  <c r="D11" i="89" s="1"/>
  <c r="D10" i="31"/>
  <c r="E42" i="31"/>
  <c r="D43" i="31"/>
  <c r="E77" i="51"/>
  <c r="F76" i="89" s="1"/>
  <c r="D77" i="51"/>
  <c r="E76" i="89" s="1"/>
  <c r="G11" i="31"/>
  <c r="J10" i="31"/>
  <c r="H10" i="31"/>
  <c r="E61" i="31" s="1"/>
  <c r="J9" i="31"/>
  <c r="I9" i="31"/>
  <c r="B9" i="31"/>
  <c r="G8" i="31"/>
  <c r="G7" i="31"/>
  <c r="B7" i="31"/>
  <c r="G6" i="31"/>
  <c r="B6" i="31"/>
  <c r="G5" i="31"/>
  <c r="G4" i="31"/>
  <c r="B4" i="31"/>
  <c r="G3" i="31"/>
  <c r="B3" i="31"/>
  <c r="F75" i="31"/>
  <c r="G11" i="67" s="1"/>
  <c r="G74" i="31"/>
  <c r="F74" i="31"/>
  <c r="G10" i="67"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E7" i="60" l="1"/>
  <c r="C117" i="31"/>
  <c r="E117" i="31" s="1"/>
  <c r="C116" i="31"/>
  <c r="E116"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E6" i="52"/>
  <c r="E10" i="60"/>
  <c r="J20" i="89"/>
  <c r="E5" i="60" l="1"/>
  <c r="E4" i="60"/>
  <c r="E5" i="52"/>
  <c r="E4" i="52"/>
  <c r="C38" i="31"/>
  <c r="G8" i="67"/>
  <c r="C43" i="31"/>
  <c r="G43" i="31" s="1"/>
  <c r="C114" i="31" s="1"/>
  <c r="C42" i="31"/>
  <c r="J34" i="89" l="1"/>
  <c r="J22" i="89"/>
  <c r="C43" i="51"/>
  <c r="F43" i="31"/>
  <c r="B57" i="33"/>
  <c r="E8" i="60"/>
  <c r="E8" i="52"/>
  <c r="C43" i="89" l="1"/>
  <c r="G43" i="89" s="1"/>
  <c r="C44" i="89"/>
  <c r="G44" i="89" s="1"/>
  <c r="D54" i="51"/>
  <c r="E51" i="89" s="1"/>
  <c r="E85" i="33"/>
  <c r="E10" i="52"/>
  <c r="B16" i="52" s="1"/>
  <c r="E54" i="51"/>
  <c r="F51" i="89" s="1"/>
  <c r="C124" i="51"/>
  <c r="C127" i="51"/>
  <c r="D53" i="51"/>
  <c r="E50" i="89" s="1"/>
  <c r="D99" i="89"/>
  <c r="D108" i="89"/>
  <c r="E53" i="51"/>
  <c r="F50" i="89" s="1"/>
  <c r="D16" i="60"/>
  <c r="G77" i="51"/>
  <c r="C126" i="51" s="1"/>
  <c r="F77" i="51"/>
  <c r="E124" i="51" l="1"/>
  <c r="F124" i="89"/>
  <c r="H124" i="89" s="1"/>
  <c r="E127" i="51"/>
  <c r="F127" i="89"/>
  <c r="H127" i="89" s="1"/>
  <c r="E9" i="52"/>
  <c r="B11" i="89"/>
  <c r="E126" i="51"/>
  <c r="F126" i="89"/>
  <c r="H126" i="89" s="1"/>
  <c r="C37" i="31"/>
  <c r="C59" i="31"/>
  <c r="C59" i="51"/>
  <c r="C58" i="89" s="1"/>
  <c r="C38" i="51"/>
  <c r="C39" i="89" s="1"/>
  <c r="G39" i="89" s="1"/>
  <c r="E9" i="60"/>
  <c r="C39" i="31"/>
  <c r="B9" i="51"/>
  <c r="B7" i="51"/>
  <c r="B8" i="89" s="1"/>
  <c r="B6" i="51"/>
  <c r="B7" i="89" s="1"/>
  <c r="B4" i="51"/>
  <c r="B5" i="89" s="1"/>
  <c r="B3" i="51"/>
  <c r="B4" i="89" s="1"/>
  <c r="D16" i="52"/>
  <c r="E90" i="33"/>
  <c r="F44" i="33"/>
  <c r="F45" i="33"/>
  <c r="F46" i="33"/>
  <c r="F47" i="33"/>
  <c r="D109" i="31"/>
  <c r="D67" i="31"/>
  <c r="D70" i="31" s="1"/>
  <c r="E114" i="31"/>
  <c r="C110" i="31"/>
  <c r="C118" i="31"/>
  <c r="E118" i="31" s="1"/>
  <c r="D66" i="31"/>
  <c r="D68" i="31" s="1"/>
  <c r="D69" i="31" s="1"/>
  <c r="E63" i="31"/>
  <c r="D63" i="31"/>
  <c r="E59" i="31"/>
  <c r="E58" i="31"/>
  <c r="E50" i="31"/>
  <c r="E49" i="31"/>
  <c r="D50" i="31"/>
  <c r="D49" i="31"/>
  <c r="E44" i="51"/>
  <c r="F44" i="89" s="1"/>
  <c r="E37" i="31"/>
  <c r="E36" i="31"/>
  <c r="B10" i="89" l="1"/>
  <c r="C61" i="50"/>
  <c r="E7" i="52"/>
  <c r="C130" i="51"/>
  <c r="E130" i="51" s="1"/>
  <c r="C129" i="51"/>
  <c r="C122" i="51"/>
  <c r="C123" i="51"/>
  <c r="C121" i="51"/>
  <c r="C128" i="51"/>
  <c r="E110" i="31"/>
  <c r="E129" i="51" l="1"/>
  <c r="F129" i="89"/>
  <c r="H129" i="89" s="1"/>
  <c r="E122" i="51"/>
  <c r="F122" i="89"/>
  <c r="H122" i="89" s="1"/>
  <c r="E128" i="51"/>
  <c r="F128" i="89"/>
  <c r="H128" i="89" s="1"/>
  <c r="E123" i="51"/>
  <c r="F123" i="89"/>
  <c r="H123" i="89" s="1"/>
  <c r="E121" i="51"/>
  <c r="F121" i="89"/>
  <c r="H121" i="89" s="1"/>
  <c r="C41" i="31"/>
  <c r="B91" i="31"/>
  <c r="F38" i="31"/>
  <c r="G38" i="31"/>
  <c r="C111" i="31"/>
  <c r="E111" i="31" s="1"/>
  <c r="C109" i="31"/>
  <c r="E109" i="31" s="1"/>
  <c r="C115" i="31"/>
  <c r="E115" i="31" s="1"/>
  <c r="C112" i="31"/>
  <c r="E112" i="31" s="1"/>
  <c r="G39" i="51"/>
  <c r="I40" i="89" s="1"/>
  <c r="G41" i="51"/>
  <c r="I42" i="89" s="1"/>
  <c r="G42" i="51"/>
  <c r="F39" i="51"/>
  <c r="F41" i="51"/>
  <c r="F42" i="51"/>
  <c r="F47" i="51"/>
  <c r="F48" i="51"/>
  <c r="F55" i="51"/>
  <c r="F56" i="51"/>
  <c r="F70" i="51"/>
  <c r="D65" i="51"/>
  <c r="D66" i="51"/>
  <c r="D69" i="51" s="1"/>
  <c r="E62" i="51"/>
  <c r="F61" i="89" s="1"/>
  <c r="D62" i="51"/>
  <c r="E61" i="89" s="1"/>
  <c r="E58" i="51"/>
  <c r="E59" i="51"/>
  <c r="F58" i="89" s="1"/>
  <c r="E55" i="51"/>
  <c r="E56" i="51"/>
  <c r="E76" i="51"/>
  <c r="E38" i="51"/>
  <c r="E51" i="51"/>
  <c r="E52" i="51"/>
  <c r="E37" i="51"/>
  <c r="G56" i="51" l="1"/>
  <c r="I53" i="89" s="1"/>
  <c r="F53" i="89"/>
  <c r="G55" i="51"/>
  <c r="I52" i="89" s="1"/>
  <c r="F52" i="89"/>
  <c r="G76" i="51"/>
  <c r="F75" i="89"/>
  <c r="E51" i="31"/>
  <c r="G31" i="67"/>
  <c r="D68" i="51"/>
  <c r="D67" i="51"/>
  <c r="D52" i="51"/>
  <c r="D41" i="33" s="1"/>
  <c r="D76" i="51"/>
  <c r="D51" i="51"/>
  <c r="D40" i="33" s="1"/>
  <c r="C111" i="51"/>
  <c r="C102" i="51"/>
  <c r="F76" i="51" l="1"/>
  <c r="E75" i="89"/>
  <c r="C16" i="52"/>
  <c r="E16" i="52" s="1"/>
  <c r="C16" i="60"/>
  <c r="E16" i="60" s="1"/>
  <c r="B16" i="60" l="1"/>
  <c r="F16" i="60" s="1"/>
  <c r="G16" i="60" s="1"/>
  <c r="H16" i="60" s="1"/>
  <c r="I16" i="60" s="1"/>
  <c r="J16" i="60" s="1"/>
  <c r="C57" i="33"/>
  <c r="G71" i="31" l="1"/>
  <c r="J85" i="31" s="1"/>
  <c r="E57" i="33"/>
  <c r="D42" i="33"/>
  <c r="D51" i="31"/>
  <c r="C74" i="51"/>
  <c r="C73" i="89" s="1"/>
  <c r="C40" i="51"/>
  <c r="C41" i="89" s="1"/>
  <c r="G41" i="89" s="1"/>
  <c r="C44" i="51"/>
  <c r="C45" i="89" s="1"/>
  <c r="G45" i="89" s="1"/>
  <c r="F16" i="52"/>
  <c r="G16" i="52" s="1"/>
  <c r="H16" i="52" s="1"/>
  <c r="I16" i="52" s="1"/>
  <c r="J16" i="52" s="1"/>
  <c r="C61" i="51"/>
  <c r="C60" i="89" s="1"/>
  <c r="C75" i="51"/>
  <c r="C74" i="89" s="1"/>
  <c r="B95" i="51"/>
  <c r="B93" i="89" s="1"/>
  <c r="C49" i="51"/>
  <c r="G49" i="51" s="1"/>
  <c r="I46" i="89" s="1"/>
  <c r="G59" i="51"/>
  <c r="I58" i="89" s="1"/>
  <c r="C58" i="51"/>
  <c r="E52" i="31"/>
  <c r="C53" i="51"/>
  <c r="C50" i="89" s="1"/>
  <c r="C52" i="51"/>
  <c r="C49" i="89" s="1"/>
  <c r="C51" i="51"/>
  <c r="C48" i="89" s="1"/>
  <c r="C37" i="51"/>
  <c r="C54" i="51"/>
  <c r="C51" i="89" s="1"/>
  <c r="D110" i="51"/>
  <c r="D101" i="51"/>
  <c r="G58" i="51" l="1"/>
  <c r="C55" i="89"/>
  <c r="C57" i="89"/>
  <c r="G37" i="51"/>
  <c r="I38" i="89" s="1"/>
  <c r="C38" i="89"/>
  <c r="G38" i="89" s="1"/>
  <c r="D100" i="89"/>
  <c r="D101" i="89" s="1"/>
  <c r="D109" i="89"/>
  <c r="G70" i="51"/>
  <c r="C49" i="67"/>
  <c r="E91" i="33"/>
  <c r="G57" i="33"/>
  <c r="F44" i="51"/>
  <c r="G44" i="51"/>
  <c r="I44" i="89" s="1"/>
  <c r="G40" i="51"/>
  <c r="I41" i="89" s="1"/>
  <c r="F40" i="51"/>
  <c r="C71" i="51"/>
  <c r="G43" i="51"/>
  <c r="F43" i="51"/>
  <c r="E43" i="33"/>
  <c r="G54" i="51"/>
  <c r="I51" i="89" s="1"/>
  <c r="F54" i="51"/>
  <c r="G51" i="89" s="1"/>
  <c r="G38" i="51"/>
  <c r="I39" i="89" s="1"/>
  <c r="E40" i="33"/>
  <c r="F40" i="33" s="1"/>
  <c r="G51" i="51"/>
  <c r="I48" i="89" s="1"/>
  <c r="F51" i="51"/>
  <c r="G48" i="89" s="1"/>
  <c r="E41" i="33"/>
  <c r="F41" i="33" s="1"/>
  <c r="G52" i="51"/>
  <c r="I49" i="89" s="1"/>
  <c r="F52" i="51"/>
  <c r="G49" i="89" s="1"/>
  <c r="E42" i="33"/>
  <c r="F42" i="33" s="1"/>
  <c r="G53" i="51"/>
  <c r="I50" i="89" s="1"/>
  <c r="F53" i="51"/>
  <c r="G50" i="89" s="1"/>
  <c r="D43" i="33"/>
  <c r="D52" i="31"/>
  <c r="C62" i="51"/>
  <c r="C61" i="89" s="1"/>
  <c r="G61" i="51"/>
  <c r="I60" i="89" s="1"/>
  <c r="D102" i="51"/>
  <c r="D103" i="51" s="1"/>
  <c r="D111" i="51"/>
  <c r="I43" i="89" l="1"/>
  <c r="G19" i="67"/>
  <c r="J90" i="51"/>
  <c r="E50" i="67" s="1"/>
  <c r="I69" i="89"/>
  <c r="B94" i="51"/>
  <c r="B92" i="89" s="1"/>
  <c r="C70" i="89"/>
  <c r="I55" i="89"/>
  <c r="I57" i="89"/>
  <c r="D132" i="33"/>
  <c r="D133" i="33" s="1"/>
  <c r="E86" i="33"/>
  <c r="E49" i="67"/>
  <c r="G49" i="67" s="1"/>
  <c r="J86" i="51"/>
  <c r="I85" i="89" s="1"/>
  <c r="F43" i="33"/>
  <c r="F49" i="33" s="1"/>
  <c r="F141" i="33"/>
  <c r="C72" i="31" s="1"/>
  <c r="E98" i="33"/>
  <c r="G62" i="51"/>
  <c r="I61" i="89" s="1"/>
  <c r="F62" i="51"/>
  <c r="F50" i="33" l="1"/>
  <c r="E87" i="33"/>
  <c r="F137" i="33"/>
  <c r="F138" i="33"/>
  <c r="C67" i="51" l="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90"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G33" i="67" s="1"/>
  <c r="F42" i="31"/>
  <c r="F41" i="31"/>
  <c r="G41" i="31"/>
  <c r="F59" i="31"/>
  <c r="G59" i="31"/>
  <c r="G37" i="31"/>
  <c r="F37" i="31"/>
  <c r="G34" i="67" l="1"/>
  <c r="G39" i="67"/>
  <c r="C113" i="31"/>
  <c r="E113" i="31" s="1"/>
  <c r="E119" i="31" s="1"/>
  <c r="C50" i="67"/>
  <c r="G50" i="67" s="1"/>
  <c r="H34" i="67" l="1"/>
  <c r="C45" i="67" s="1"/>
  <c r="F75" i="51" l="1"/>
  <c r="G75" i="51"/>
  <c r="F74" i="51"/>
  <c r="G74" i="51"/>
  <c r="C125" i="51" l="1"/>
  <c r="F125" i="89" s="1"/>
  <c r="H125" i="89" s="1"/>
  <c r="H130" i="89" s="1"/>
  <c r="I74" i="89"/>
  <c r="E99" i="33"/>
  <c r="D134" i="33" s="1"/>
  <c r="E45" i="67" l="1"/>
  <c r="I34" i="67"/>
  <c r="E125" i="51"/>
  <c r="E131" i="51" s="1"/>
  <c r="G63" i="51" s="1"/>
  <c r="F136" i="33"/>
  <c r="G45" i="67"/>
  <c r="G72" i="51" l="1"/>
  <c r="E47" i="67" s="1"/>
  <c r="I62" i="89"/>
  <c r="C65" i="51"/>
  <c r="C66" i="51" s="1"/>
  <c r="C66" i="31"/>
  <c r="H39" i="67" s="1"/>
  <c r="C48" i="67" s="1"/>
  <c r="F139" i="33"/>
  <c r="J91" i="51" l="1"/>
  <c r="I89" i="89" s="1"/>
  <c r="F66" i="51"/>
  <c r="G65" i="89" s="1"/>
  <c r="C65" i="89"/>
  <c r="I39" i="67"/>
  <c r="E48" i="67" s="1"/>
  <c r="G48" i="67" s="1"/>
  <c r="C64" i="89"/>
  <c r="F65" i="51"/>
  <c r="D115" i="51"/>
  <c r="E113" i="51" s="1"/>
  <c r="J39" i="67"/>
  <c r="D106" i="51"/>
  <c r="I71" i="89"/>
  <c r="F72" i="51" l="1"/>
  <c r="E46" i="67" s="1"/>
  <c r="E93" i="33"/>
  <c r="D113" i="89"/>
  <c r="E111" i="89" s="1"/>
  <c r="D104" i="89"/>
  <c r="E92" i="33"/>
  <c r="G64" i="89"/>
  <c r="G71" i="89" l="1"/>
  <c r="F78" i="51"/>
  <c r="G77" i="89" s="1"/>
  <c r="E97" i="33"/>
  <c r="E100" i="33" s="1"/>
  <c r="J84" i="51" s="1"/>
  <c r="J83" i="51"/>
  <c r="I14" i="67" s="1"/>
  <c r="E42" i="67" s="1"/>
  <c r="I82" i="89" l="1"/>
  <c r="J87"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6" i="51"/>
  <c r="B94" i="89" s="1"/>
  <c r="C43" i="67" l="1"/>
  <c r="H11" i="86"/>
  <c r="C87" i="89"/>
  <c r="E27" i="24"/>
  <c r="H12" i="24" s="1"/>
  <c r="I28" i="67"/>
  <c r="E44" i="67" s="1"/>
  <c r="F66" i="31"/>
  <c r="C67" i="31"/>
  <c r="F67" i="31" s="1"/>
  <c r="G21" i="67" s="1"/>
  <c r="D128" i="31"/>
  <c r="F126" i="31" s="1"/>
  <c r="J79" i="31" s="1"/>
  <c r="E22" i="86" l="1"/>
  <c r="E25" i="86"/>
  <c r="E17" i="86"/>
  <c r="E15" i="86"/>
  <c r="E14" i="86"/>
  <c r="E16" i="86"/>
  <c r="E20" i="86"/>
  <c r="E26" i="86"/>
  <c r="E12" i="86"/>
  <c r="E23" i="86"/>
  <c r="E13" i="86"/>
  <c r="E19" i="86"/>
  <c r="E24" i="86"/>
  <c r="E18" i="86"/>
  <c r="E9" i="86"/>
  <c r="E10" i="86"/>
  <c r="E8" i="86"/>
  <c r="E11" i="86"/>
  <c r="E7" i="86"/>
  <c r="E21" i="86"/>
  <c r="F73" i="31"/>
  <c r="C46" i="67" s="1"/>
  <c r="G46" i="67" s="1"/>
  <c r="E27" i="86" l="1"/>
  <c r="H12" i="86" s="1"/>
  <c r="G25" i="67"/>
  <c r="G28" i="67" s="1"/>
  <c r="C44" i="67" s="1"/>
  <c r="G44" i="67" s="1"/>
  <c r="H22" i="67"/>
  <c r="J78" i="31"/>
  <c r="H14" i="67" s="1"/>
  <c r="C42" i="67" s="1"/>
  <c r="G42" i="67" s="1"/>
  <c r="G18" i="67"/>
  <c r="G9" i="67"/>
  <c r="G14" i="67" s="1"/>
  <c r="B92" i="31"/>
  <c r="G43" i="67" l="1"/>
  <c r="G22" i="67"/>
  <c r="F88" i="51"/>
  <c r="F83" i="31"/>
  <c r="H83" i="31" s="1"/>
  <c r="H28" i="67"/>
  <c r="E87" i="89" l="1"/>
  <c r="H88" i="51"/>
  <c r="B89" i="31"/>
  <c r="J86" i="31"/>
  <c r="G64" i="31"/>
  <c r="G73" i="31" s="1"/>
  <c r="C47" i="67" s="1"/>
  <c r="J89" i="51" l="1"/>
  <c r="I88" i="89" s="1"/>
  <c r="G87" i="89"/>
  <c r="B93" i="51"/>
  <c r="B91" i="89" s="1"/>
  <c r="G47" i="67"/>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39" authorId="0" shapeId="0" xr:uid="{BD226B07-41E7-4F77-B4B8-A318EB3E8F10}">
      <text>
        <r>
          <rPr>
            <b/>
            <sz val="9"/>
            <color indexed="81"/>
            <rFont val="Tahoma"/>
            <family val="2"/>
          </rPr>
          <t>Bienvenue:</t>
        </r>
        <r>
          <rPr>
            <sz val="9"/>
            <color indexed="81"/>
            <rFont val="Tahoma"/>
            <family val="2"/>
          </rPr>
          <t xml:space="preserve">
Bien que 20,50 soit affiché j'ai conservé pour le c
alcul l'ensemble des chiffres après la virgule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24479E95-DAFD-4EF4-BAE8-F4371D62D8AF}">
      <text>
        <r>
          <rPr>
            <sz val="9"/>
            <color indexed="81"/>
            <rFont val="Tahoma"/>
            <family val="2"/>
          </rPr>
          <t xml:space="preserve">Les infos que vous retrouvez à ce niveau sont répercutées automatiquement dans le BP 
</t>
        </r>
      </text>
    </comment>
    <comment ref="H18" authorId="0" shapeId="0" xr:uid="{0242045E-DEB5-4CC7-87A7-4578C01336F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B32A56F0-A62B-42A3-90D7-609BB07C0C26}">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2CA95B29-B17F-4797-B2FA-1EAD24D083A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E44" authorId="0" shapeId="0" xr:uid="{6D80BD14-6B86-4276-B4D1-0D1928902A71}">
      <text>
        <r>
          <rPr>
            <sz val="9"/>
            <color indexed="81"/>
            <rFont val="Tahoma"/>
            <family val="2"/>
          </rPr>
          <t xml:space="preserve">
Pour un forfait jour le nombre d'heures contractuelles n'est pas de 151,67; cependant  les limites de 2,5 SMIC, de 3,5 SMIC et de 1,6 SMIC sont calculées par référence à un smic de base calculé sur 151,67  et les heures contractuelles sont saisies pour 151,67 pour un forfait jour de 218j 
</t>
        </r>
      </text>
    </comment>
    <comment ref="E46" authorId="0" shapeId="0" xr:uid="{1D35DBE3-85E2-42C6-999B-169BB28B1EF5}">
      <text>
        <r>
          <rPr>
            <b/>
            <sz val="9"/>
            <color indexed="81"/>
            <rFont val="Tahoma"/>
            <family val="2"/>
          </rPr>
          <t>Bienvenue:</t>
        </r>
        <r>
          <rPr>
            <sz val="9"/>
            <color indexed="81"/>
            <rFont val="Tahoma"/>
            <family val="2"/>
          </rPr>
          <t xml:space="preserve">
Le PMSS est proratisé en jours calendaires d'absence (dans ce cas 2 jours calendaires d'absence) 
</t>
        </r>
      </text>
    </comment>
    <comment ref="F46" authorId="0" shapeId="0" xr:uid="{2B9FC885-31D9-42E8-867C-CAEC8EE3FA9C}">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E47" authorId="0" shapeId="0" xr:uid="{3714EC67-E6A2-434D-B439-8EF02E4F2116}">
      <text>
        <r>
          <rPr>
            <sz val="9"/>
            <color indexed="81"/>
            <rFont val="Tahoma"/>
            <family val="2"/>
          </rPr>
          <t>Les heures URSSAF servent à calculer les limites applicables à certaines cotisations (2,5 SMIC 3,5 SMIC) 
et à la réduction Générale de Cotisations (1,6 SMIC)</t>
        </r>
      </text>
    </comment>
    <comment ref="F47" authorId="0" shapeId="0" xr:uid="{7DB1B3C4-784D-4FEC-919E-5E0347437DDC}">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A116" authorId="0" shapeId="0" xr:uid="{BBD1BE7E-A4F3-41A1-B2C4-E6D98804F604}">
      <text>
        <r>
          <rPr>
            <sz val="9"/>
            <color indexed="81"/>
            <rFont val="Tahoma"/>
            <family val="2"/>
          </rPr>
          <t>(Si Effectifs salariés &gt; = 11 )</t>
        </r>
      </text>
    </comment>
    <comment ref="A117" authorId="0" shapeId="0" xr:uid="{E8FB5853-A23F-40D5-BAB8-E854218F87EB}">
      <text>
        <r>
          <rPr>
            <sz val="9"/>
            <color indexed="81"/>
            <rFont val="Tahoma"/>
            <family val="2"/>
          </rPr>
          <t xml:space="preserve">(Si Effectifs salariés &lt; 11 )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8" authorId="0" shapeId="0" xr:uid="{BFEDBB6E-691B-429D-B8B9-A462B61DFA9C}">
      <text>
        <r>
          <rPr>
            <sz val="9"/>
            <color indexed="81"/>
            <rFont val="Tahoma"/>
            <family val="2"/>
          </rPr>
          <t>(Si Effectifs salariés &gt; = 11 )</t>
        </r>
      </text>
    </comment>
    <comment ref="A129" authorId="0" shapeId="0" xr:uid="{A1292D6F-BB50-450C-A96E-D690FE86E73E}">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C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C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 ref="C61" authorId="0" shapeId="0" xr:uid="{EA4514A4-E7EE-48A1-BB40-5B59EBDEB6E5}">
      <text>
        <r>
          <rPr>
            <sz val="9"/>
            <color indexed="81"/>
            <rFont val="Tahoma"/>
            <family val="2"/>
          </rPr>
          <t>Suivant que la date de début de période de paie est antérieure au 01/05/2025 ou à compter de cette date le coefficient est différent - par ailleurs ce coefficient différe suivant les effectifs de l'entreprise ( moins de 50 salariés ou 50 et plus de 50 salariés). Cellule paramétrée sur la date de début de période de paie sur la feuille TRAME DU BP et sur les effectifs (Cellules H9 et B</t>
        </r>
        <r>
          <rPr>
            <b/>
            <sz val="9"/>
            <color indexed="81"/>
            <rFont val="Tahoma"/>
            <family val="2"/>
          </rPr>
          <t>8)</t>
        </r>
      </text>
    </comment>
    <comment ref="D62" authorId="0" shapeId="0" xr:uid="{C49A8098-F5F4-4F28-A666-E2DD3E932A7A}">
      <text>
        <r>
          <rPr>
            <sz val="9"/>
            <color indexed="81"/>
            <rFont val="Tahoma"/>
            <family val="2"/>
          </rPr>
          <t>Cette cellule est ici paramètrée sur la date de début de période de paie figurant dans la feuille TRAME DE BP</t>
        </r>
        <r>
          <rPr>
            <sz val="11"/>
            <color indexed="81"/>
            <rFont val="Tahoma"/>
            <family val="2"/>
          </rPr>
          <t xml:space="preserve">
</t>
        </r>
      </text>
    </comment>
    <comment ref="D64" authorId="0" shapeId="0" xr:uid="{7A2C1DB3-3FC5-4CD1-BD05-A67367040C94}">
      <text>
        <r>
          <rPr>
            <sz val="9"/>
            <color indexed="81"/>
            <rFont val="Tahoma"/>
            <family val="2"/>
          </rPr>
          <t>Cette cellule est programmée pour traiter tous les cas de figure.Les cellules de référence utilisées étant les cellules H9 et B8 de la feuille TRAME DE BP</t>
        </r>
        <r>
          <rPr>
            <sz val="11"/>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sharedStrings.xml><?xml version="1.0" encoding="utf-8"?>
<sst xmlns="http://schemas.openxmlformats.org/spreadsheetml/2006/main" count="1710" uniqueCount="928">
  <si>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</si>
  <si>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</si>
  <si>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</si>
  <si>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</si>
  <si>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</si>
  <si>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</si>
  <si>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</si>
  <si>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</si>
  <si>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</si>
  <si>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</si>
  <si>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</si>
  <si>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</si>
  <si>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</si>
  <si>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</si>
  <si>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</si>
  <si>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</si>
  <si>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</si>
  <si>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</si>
  <si>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</si>
  <si>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</si>
  <si>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</si>
  <si>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</si>
  <si>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</si>
  <si>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</si>
  <si>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</si>
  <si>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</si>
  <si>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</si>
  <si>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</si>
  <si>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</si>
  <si>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</si>
  <si>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</si>
  <si>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</si>
  <si>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</si>
  <si>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</si>
  <si>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</si>
  <si>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</si>
  <si>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</si>
  <si>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</si>
  <si>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</si>
  <si>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</si>
  <si>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</si>
  <si>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</si>
  <si>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</si>
  <si>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</si>
  <si>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</si>
  <si>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</si>
  <si>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</si>
  <si>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</si>
  <si>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</si>
  <si>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</si>
  <si>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</si>
  <si>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</si>
  <si>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</si>
  <si>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</si>
  <si>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</si>
  <si>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</si>
  <si>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</si>
  <si>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</si>
  <si>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</si>
  <si>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</si>
  <si>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</si>
  <si>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</si>
  <si>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</si>
  <si>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</si>
  <si>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</si>
  <si>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</si>
  <si>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</si>
  <si>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</si>
  <si>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</si>
  <si>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</si>
  <si>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</si>
  <si>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</si>
  <si>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</si>
  <si>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</si>
  <si>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</si>
  <si>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</si>
  <si>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</si>
  <si>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</si>
  <si>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</si>
  <si>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</si>
  <si>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</si>
  <si>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</si>
  <si>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</si>
  <si>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</si>
  <si>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</si>
  <si>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</si>
  <si>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</si>
  <si>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</si>
  <si>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</si>
  <si>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</si>
  <si>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</si>
  <si>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</si>
  <si>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</si>
  <si>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</si>
  <si>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</si>
  <si>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</si>
  <si>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</si>
  <si>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</si>
  <si>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</si>
  <si>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</si>
  <si>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</si>
  <si>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</si>
  <si>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</si>
  <si>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</si>
  <si>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</si>
  <si>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</si>
  <si>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</si>
  <si>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</si>
  <si>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</si>
  <si>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</si>
  <si>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</si>
  <si>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</si>
  <si>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</si>
  <si>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</si>
  <si>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</si>
  <si>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</si>
  <si>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</si>
  <si>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</si>
  <si>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</si>
  <si>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</si>
  <si>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</si>
  <si>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</si>
  <si>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</si>
  <si>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</si>
  <si>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</si>
  <si>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</si>
  <si>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</si>
  <si>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</si>
  <si>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</si>
  <si>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</si>
  <si>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</si>
  <si>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</si>
  <si>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</si>
  <si>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</si>
  <si>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</si>
  <si>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</si>
  <si>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</si>
  <si>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</si>
  <si>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</si>
  <si>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</si>
  <si>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</si>
  <si>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</si>
  <si>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</si>
  <si>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</si>
  <si>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</si>
  <si>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</si>
  <si>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</si>
  <si>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</si>
  <si>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</si>
  <si>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</si>
  <si>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</si>
  <si>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</si>
  <si>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</si>
  <si>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</si>
  <si>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</si>
  <si>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</si>
  <si>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</si>
  <si>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</si>
  <si>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</si>
  <si>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</si>
  <si>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</si>
  <si>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</si>
  <si>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</si>
  <si>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</si>
  <si>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</si>
  <si>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</si>
  <si>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</si>
  <si>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</si>
  <si>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</si>
  <si>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</si>
  <si>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</si>
  <si>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</si>
  <si>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</si>
  <si>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</si>
  <si>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</si>
  <si>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</si>
  <si>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</si>
  <si>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</si>
  <si>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</si>
  <si>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</si>
  <si>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</si>
  <si>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</si>
  <si>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</si>
  <si>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</si>
  <si>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</si>
  <si>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</si>
  <si>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</si>
  <si>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</si>
  <si>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</si>
  <si>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</si>
  <si>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</si>
  <si>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</si>
  <si>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</si>
  <si>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</si>
  <si>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</si>
  <si>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</si>
  <si>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</si>
  <si>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</si>
  <si>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</si>
  <si>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</si>
  <si>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</si>
  <si>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</si>
  <si>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</si>
  <si>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</si>
  <si>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</si>
  <si>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</si>
  <si>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</si>
  <si>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</si>
  <si>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</si>
  <si>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</si>
  <si>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</si>
  <si>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</si>
  <si>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DFHS entreprises de 20 à moins de 250 salariés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</si>
  <si>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</si>
  <si>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</si>
  <si>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</si>
  <si>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</si>
  <si>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</si>
  <si>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</si>
  <si>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</si>
  <si>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</si>
  <si>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</si>
  <si>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</si>
  <si>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</si>
  <si>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</si>
  <si>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</si>
  <si>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</si>
  <si>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</si>
  <si>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</si>
  <si>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</si>
  <si>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</si>
  <si>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</si>
  <si>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</si>
  <si>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</si>
  <si>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</si>
  <si>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</si>
  <si>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</si>
  <si>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</si>
  <si>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</si>
  <si>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</si>
  <si>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</si>
  <si>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</si>
  <si>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</si>
  <si>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</si>
  <si>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</si>
  <si>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</si>
  <si>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</si>
  <si>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</si>
  <si>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</si>
  <si>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</si>
  <si>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</si>
  <si>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</si>
  <si>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</si>
  <si>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</si>
  <si>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</si>
  <si>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</si>
  <si>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</si>
  <si>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</si>
  <si>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</si>
  <si>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</si>
  <si>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</si>
  <si>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</si>
  <si>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</si>
  <si>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</si>
  <si>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</si>
  <si>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</si>
  <si>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</si>
  <si>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</si>
  <si>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</si>
  <si>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</si>
  <si>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</si>
  <si>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</si>
  <si>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</si>
  <si>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</si>
  <si>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</si>
  <si>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</si>
  <si>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</si>
  <si>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</si>
  <si>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</si>
  <si>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</si>
  <si>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</si>
  <si>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</si>
  <si>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</si>
  <si>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</si>
  <si>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</si>
  <si>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</si>
  <si>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</si>
  <si>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</si>
  <si>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</si>
  <si>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</si>
  <si>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</si>
  <si>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</si>
  <si>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</si>
  <si>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</si>
  <si>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</si>
  <si>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</si>
  <si>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</si>
  <si>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</si>
  <si>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</si>
  <si>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</si>
  <si>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</si>
  <si>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</si>
  <si>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</si>
  <si>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</si>
  <si>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</si>
  <si>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</si>
  <si>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</si>
  <si>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</si>
  <si>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</si>
  <si>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</si>
  <si>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</si>
  <si>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</si>
  <si>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</si>
  <si>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</si>
  <si>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</si>
  <si>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</si>
  <si>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</si>
  <si>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</si>
  <si>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</si>
  <si>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</si>
  <si>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</si>
  <si>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</si>
  <si>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</si>
  <si>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</si>
  <si>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</si>
  <si>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</si>
  <si>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</si>
  <si>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</si>
  <si>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</si>
  <si>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</si>
  <si>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</si>
  <si>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</si>
  <si>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</si>
  <si>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</si>
  <si>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</si>
  <si>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</si>
  <si>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</si>
  <si>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</si>
  <si>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</si>
  <si>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</si>
  <si>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</si>
  <si>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</si>
  <si>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</si>
  <si>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</si>
  <si>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</si>
  <si>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</si>
  <si>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</si>
  <si>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</si>
  <si>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</si>
  <si>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</si>
  <si>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</si>
  <si>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</si>
  <si>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</si>
  <si>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</si>
  <si>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</si>
  <si>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</si>
  <si>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</si>
  <si>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</si>
  <si>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</si>
  <si>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</si>
  <si>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</si>
  <si>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</si>
  <si>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</si>
  <si>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</si>
  <si>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</si>
  <si>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</si>
  <si>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</si>
  <si>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</si>
  <si>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</si>
  <si>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</si>
  <si>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</si>
  <si>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</si>
  <si>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</si>
  <si>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</si>
  <si>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</si>
  <si>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</si>
  <si>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</si>
  <si>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</si>
  <si>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</si>
  <si>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</si>
  <si>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</si>
  <si>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</si>
  <si>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</si>
  <si>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</si>
  <si>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</si>
  <si>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</si>
  <si>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</si>
  <si>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</si>
  <si>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</si>
  <si>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</si>
  <si>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</si>
  <si>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</si>
  <si>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</si>
  <si>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</si>
  <si>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</si>
  <si>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</si>
  <si>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</si>
  <si>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</si>
  <si>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</si>
  <si>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</si>
  <si>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</si>
  <si>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</si>
  <si>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</si>
  <si>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</si>
  <si>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</si>
  <si>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</si>
  <si>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</si>
  <si>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</si>
  <si>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</si>
  <si>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</si>
  <si>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</si>
  <si>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</si>
  <si>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</si>
  <si>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</si>
  <si>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</si>
  <si>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</si>
  <si>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</si>
  <si>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</si>
  <si>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</si>
  <si>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</si>
  <si>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</si>
  <si>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</si>
  <si>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</si>
  <si>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</si>
  <si>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</si>
  <si>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</si>
  <si>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</si>
  <si>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</si>
  <si>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</si>
  <si>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</si>
  <si>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</si>
  <si>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</si>
  <si>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</si>
  <si>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</si>
  <si>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</si>
  <si>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</si>
  <si>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</si>
  <si>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</si>
  <si>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</si>
  <si>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</si>
  <si>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</si>
  <si>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</si>
  <si>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</si>
  <si>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</si>
  <si>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</si>
  <si>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</si>
  <si>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</si>
  <si>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</si>
  <si>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</si>
  <si>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</si>
  <si>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</si>
  <si>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</si>
  <si>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</si>
  <si>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</si>
  <si>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</si>
  <si>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</si>
  <si>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</si>
  <si>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</si>
  <si>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</si>
  <si>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</si>
  <si>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</si>
  <si>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</si>
  <si>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</si>
  <si>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</si>
  <si>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</si>
  <si>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</si>
  <si>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</si>
  <si>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</si>
  <si>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</si>
  <si>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</si>
  <si>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</si>
  <si>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</si>
  <si>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</si>
  <si>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</si>
  <si>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</si>
  <si>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</si>
  <si>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</si>
  <si>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</si>
  <si>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</si>
  <si>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</si>
  <si>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</si>
  <si>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</si>
  <si>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</si>
  <si>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</si>
  <si>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</si>
  <si>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</si>
  <si>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</si>
  <si>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</si>
  <si>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</si>
  <si>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</si>
  <si>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</si>
  <si>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</si>
  <si>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A compter du 01/02/2024</t>
  </si>
  <si>
    <t xml:space="preserve">2,01 % / 1,6 % </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</si>
  <si>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</si>
  <si>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</si>
  <si>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</si>
  <si>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</si>
  <si>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</si>
  <si>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</si>
  <si>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</si>
  <si>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</si>
  <si>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</si>
  <si>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</si>
  <si>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</si>
  <si>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</si>
  <si>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</si>
  <si>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</si>
  <si>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</si>
  <si>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</si>
  <si>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</si>
  <si>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</si>
  <si>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</si>
  <si>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</si>
  <si>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</si>
  <si>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</si>
  <si>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</si>
  <si>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</si>
  <si>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</si>
  <si>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</si>
  <si>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</si>
  <si>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</si>
  <si>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</si>
  <si>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</si>
  <si>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</si>
  <si>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</si>
  <si>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</si>
  <si>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</si>
  <si>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</si>
  <si>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</si>
  <si>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</si>
  <si>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</si>
  <si>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</si>
  <si>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</si>
  <si>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</si>
  <si>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</si>
  <si>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</si>
  <si>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</si>
  <si>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</si>
  <si>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</si>
  <si>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</si>
  <si>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</si>
  <si>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</si>
  <si>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</si>
  <si>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</si>
  <si>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</si>
  <si>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</si>
  <si>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</si>
  <si>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</si>
  <si>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</si>
  <si>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</si>
  <si>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</si>
  <si>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</si>
  <si>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</si>
  <si>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</si>
  <si>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</si>
  <si>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</si>
  <si>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</si>
  <si>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</si>
  <si>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</si>
  <si>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</si>
  <si>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</si>
  <si>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</si>
  <si>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</si>
  <si>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</si>
  <si>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</si>
  <si>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</si>
  <si>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</si>
  <si>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</si>
  <si>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</si>
  <si>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</si>
  <si>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</si>
  <si>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</si>
  <si>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</si>
  <si>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</si>
  <si>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</si>
  <si>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</si>
  <si>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</si>
  <si>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</si>
  <si>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</si>
  <si>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</si>
  <si>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</si>
  <si>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</si>
  <si>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</si>
  <si>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</si>
  <si>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</si>
  <si>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</si>
  <si>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</si>
  <si>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</si>
  <si>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</si>
  <si>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</si>
  <si>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</si>
  <si>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</si>
  <si>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</si>
  <si>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</si>
  <si>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</si>
  <si>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</si>
  <si>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</si>
  <si>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</si>
  <si>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</si>
  <si>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</si>
  <si>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</si>
  <si>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</si>
  <si>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</si>
  <si>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</si>
  <si>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</si>
  <si>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</si>
  <si>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</si>
  <si>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</si>
  <si>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</si>
  <si>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</si>
  <si>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</si>
  <si>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</si>
  <si>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</si>
  <si>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</si>
  <si>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</si>
  <si>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</si>
  <si>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</si>
  <si>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</si>
  <si>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</si>
  <si>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</si>
  <si>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</si>
  <si>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</si>
  <si>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</si>
  <si>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</si>
  <si>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</si>
  <si>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</si>
  <si>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</si>
  <si>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</si>
  <si>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</si>
  <si>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</si>
  <si>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</si>
  <si>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</si>
  <si>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</si>
  <si>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</si>
  <si>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</si>
  <si>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</si>
  <si>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</si>
  <si>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</si>
  <si>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</si>
  <si>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</si>
  <si>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</si>
  <si>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</si>
  <si>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</si>
  <si>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</si>
  <si>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</si>
  <si>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</si>
  <si>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</si>
  <si>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</si>
  <si>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</si>
  <si>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</si>
  <si>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</si>
  <si>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</si>
  <si>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</si>
  <si>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</si>
  <si>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</si>
  <si>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</si>
  <si>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</si>
  <si>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</si>
  <si>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</si>
  <si>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</si>
  <si>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</si>
  <si>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</si>
  <si>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</si>
  <si>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</si>
  <si>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</si>
  <si>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</si>
  <si>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</si>
  <si>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</si>
  <si>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</si>
  <si>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</si>
  <si>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</si>
  <si>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</si>
  <si>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</si>
  <si>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</si>
  <si>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</si>
  <si>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</si>
  <si>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</si>
  <si>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</si>
  <si>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</si>
  <si>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</si>
  <si>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</si>
  <si>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</si>
  <si>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</si>
  <si>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</si>
  <si>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</si>
  <si>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</si>
  <si>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</si>
  <si>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</si>
  <si>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</si>
  <si>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</si>
  <si>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</si>
  <si>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</si>
  <si>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</si>
  <si>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</si>
  <si>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</si>
  <si>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</si>
  <si>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</si>
  <si>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</si>
  <si>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</si>
  <si>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</si>
  <si>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</si>
  <si>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</si>
  <si>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</si>
  <si>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</si>
  <si>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</si>
  <si>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</si>
  <si>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</si>
  <si>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</si>
  <si>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</si>
  <si>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</si>
  <si>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</si>
  <si>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</si>
  <si>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</si>
  <si>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</si>
  <si>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</si>
  <si>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</si>
  <si>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</si>
  <si>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</si>
  <si>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</si>
  <si>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</si>
  <si>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</si>
  <si>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</si>
  <si>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</si>
  <si>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</si>
  <si>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</si>
  <si>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</si>
  <si>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</si>
  <si>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</si>
  <si>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</si>
  <si>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</si>
  <si>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</si>
  <si>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</si>
  <si>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</si>
  <si>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</si>
  <si>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</si>
  <si>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</si>
  <si>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</si>
  <si>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</si>
  <si>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</si>
  <si>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</si>
  <si>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</si>
  <si>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</si>
  <si>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</si>
  <si>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</si>
  <si>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</si>
  <si>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</si>
  <si>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</si>
  <si>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</si>
  <si>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</si>
  <si>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</si>
  <si>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</si>
  <si>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</si>
  <si>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</si>
  <si>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</si>
  <si>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</si>
  <si>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</si>
  <si>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</si>
  <si>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</si>
  <si>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</si>
  <si>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</si>
  <si>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</si>
  <si>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</si>
  <si>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</si>
  <si>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</si>
  <si>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</si>
  <si>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</si>
  <si>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</si>
  <si>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</si>
  <si>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</si>
  <si>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</si>
  <si>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</si>
  <si>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</si>
  <si>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</si>
  <si>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</si>
  <si>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</si>
  <si>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</si>
  <si>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</si>
  <si>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</si>
  <si>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</si>
  <si>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</si>
  <si>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</si>
  <si>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</si>
  <si>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</si>
  <si>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</si>
  <si>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</si>
  <si>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</si>
  <si>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</si>
  <si>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</si>
  <si>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</si>
  <si>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</si>
  <si>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</si>
  <si>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</si>
  <si>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</si>
  <si>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</si>
  <si>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</si>
  <si>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</si>
  <si>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</si>
  <si>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</si>
  <si>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</si>
  <si>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</si>
  <si>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</si>
  <si>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</si>
  <si>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</si>
  <si>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</si>
  <si>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</si>
  <si>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</si>
  <si>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</si>
  <si>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</si>
  <si>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</si>
  <si>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</si>
  <si>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 xml:space="preserve">​ </t>
  </si>
  <si>
    <t xml:space="preserve">Format nombre de la date du 01/05/2025 </t>
  </si>
  <si>
    <t xml:space="preserve">( permet de faire un test sur la date du mois) </t>
  </si>
  <si>
    <t xml:space="preserve">Coefficient maximum </t>
  </si>
  <si>
    <t xml:space="preserve">Coefficient  maximum </t>
  </si>
  <si>
    <t xml:space="preserve">Période de paye (début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</si>
  <si>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</si>
  <si>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</si>
  <si>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</si>
  <si>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</si>
  <si>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</si>
  <si>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</si>
  <si>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</si>
  <si>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</si>
  <si>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</si>
  <si>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</si>
  <si>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</si>
  <si>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</si>
  <si>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</si>
  <si>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</si>
  <si>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</si>
  <si>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</si>
  <si>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</si>
  <si>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</si>
  <si>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</si>
  <si>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</si>
  <si>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</si>
  <si>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</si>
  <si>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</si>
  <si>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</si>
  <si>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</si>
  <si>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</si>
  <si>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</si>
  <si>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</si>
  <si>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</si>
  <si>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</si>
  <si>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</si>
  <si>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</si>
  <si>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</si>
  <si>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</si>
  <si>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</si>
  <si>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</si>
  <si>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</si>
  <si>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</si>
  <si>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</si>
  <si>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</si>
  <si>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</si>
  <si>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</si>
  <si>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</si>
  <si>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</si>
  <si>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</si>
  <si>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</si>
  <si>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</si>
  <si>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</si>
  <si>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</si>
  <si>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</si>
  <si>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t>Coefficients Red Gen de  Cot.applicables  à compter du  01/01/2025 et du 01/05/2025 (Entreprises de moins de 50 sal / Entreprises de 50 ou + de 50 sal.)</t>
  </si>
  <si>
    <t xml:space="preserve">par heure supplémentaire </t>
  </si>
  <si>
    <t xml:space="preserve">Déduction forfaitaire sur les Heures Supplémentaires (tous cas de figure) </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</si>
  <si>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</si>
  <si>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</si>
  <si>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</si>
  <si>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</si>
  <si>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</si>
  <si>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</si>
  <si>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</si>
  <si>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</si>
  <si>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</si>
  <si>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Hervé </t>
  </si>
  <si>
    <t xml:space="preserve">3 Rue Paul  92700 Colombes </t>
  </si>
  <si>
    <t>1.63.11.59.52.55.</t>
  </si>
  <si>
    <t xml:space="preserve">Théme </t>
  </si>
  <si>
    <t>Heures supplémentaires et  Absence avec maintien partiel du salaire</t>
  </si>
  <si>
    <t xml:space="preserve">Dans une entreprise de 30 salariés dont la durée du travail est de 169 h par mois , un cadre perçoit un salaire de </t>
  </si>
  <si>
    <t>base de 3500 euros. Au cours du mois de Janvier il a ét absent la semaine du 06/01 au 12/01  pour raisons familiales</t>
  </si>
  <si>
    <t xml:space="preserve">L'entreprise ne relève d'aucune convention collective. En conformité avec les dispositions collectives en vigueur, l'employeur </t>
  </si>
  <si>
    <t xml:space="preserve"> maintient son salaire à hauteur de 50% dès le 1 er jour d'absence. Les heures supplémentaires sont majorées de 10%</t>
  </si>
  <si>
    <t>Ce salarié bénéficie de Tickets Restaurant PS 6 PP 6 et du remboursement à 50 % de la carte Navigo</t>
  </si>
  <si>
    <t xml:space="preserve">A la demande de son salarié , l'employeur applique le taux neutre. </t>
  </si>
  <si>
    <t xml:space="preserve">Votre travail consiste </t>
  </si>
  <si>
    <t>à compléter le masque de saisie à partir des éléments indiqués dans l'énoncé</t>
  </si>
  <si>
    <t xml:space="preserve">à établir le BP de Janvier  . Les éléments du haut du bulletin ( salaire de base, primes et heures supplémentaires pourront être saisies </t>
  </si>
  <si>
    <t>directement dans le BP)</t>
  </si>
  <si>
    <t xml:space="preserve">à prendre connaissance de la feuille HEURES SUPPLEMENTAIRES </t>
  </si>
  <si>
    <t xml:space="preserve">à compléter la feuille de contrôle </t>
  </si>
  <si>
    <t xml:space="preserve">Les autres feuilles sont des feuilles de travail </t>
  </si>
  <si>
    <t>Les 2 feuilles Red. Gen de Cot effectuent le calcul automatisé de la Réduction Générale de Cotiations , l'une pour le BP Version</t>
  </si>
  <si>
    <t>l'autre pour le BP Format Juillet 2023</t>
  </si>
  <si>
    <t xml:space="preserve">Les messages d'erreur figurant sur les 2 trames aussi longtemps que vous n'avez pas complété le masque de saisie et le haut du bulletin  ne doivent pas vous alarmer. </t>
  </si>
  <si>
    <t xml:space="preserve">Lorsque vous allez chercher une valeur dans une feuille différente un message d'erreur de type PROPAGATIOn peut s'afficher. Il suffira de supprimer les </t>
  </si>
  <si>
    <t>2 derniers termes de la référence</t>
  </si>
  <si>
    <t xml:space="preserve">Ex : </t>
  </si>
  <si>
    <r>
      <t>='BP FORMAT JUILLET 2023'!J83</t>
    </r>
    <r>
      <rPr>
        <sz val="14"/>
        <color rgb="FFFF0000"/>
        <rFont val="Times New Roman"/>
        <family val="1"/>
      </rPr>
      <t>:L83</t>
    </r>
  </si>
  <si>
    <t xml:space="preserve">Rappels : </t>
  </si>
  <si>
    <t>39*52/12</t>
  </si>
  <si>
    <t xml:space="preserve">Durée légale du travail </t>
  </si>
  <si>
    <t>35*52/12</t>
  </si>
  <si>
    <t xml:space="preserve">Heures supplémntaires structurelles </t>
  </si>
  <si>
    <t>4*52/12</t>
  </si>
  <si>
    <t xml:space="preserve">1. Détermination du TAUX HORAIRE  base 151,67 : </t>
  </si>
  <si>
    <t>=3500/ (151,67+1,1*17,33)</t>
  </si>
  <si>
    <t>Présentation 1</t>
  </si>
  <si>
    <t>Présentation 2</t>
  </si>
  <si>
    <t>Responsable Paie</t>
  </si>
  <si>
    <t>Prime d'ancienneté</t>
  </si>
  <si>
    <t xml:space="preserve">Incidence de l'absence sur les heures supplémentaires </t>
  </si>
  <si>
    <t xml:space="preserve"> Heures supplémentaires   à  + 25 %</t>
  </si>
  <si>
    <t>Absence du 06/01 au 10/01</t>
  </si>
  <si>
    <t xml:space="preserve">Tuax horaire </t>
  </si>
  <si>
    <t xml:space="preserve">Mercredi </t>
  </si>
  <si>
    <t>Jeudi</t>
  </si>
  <si>
    <t>Vendredi</t>
  </si>
  <si>
    <t>Samedi</t>
  </si>
  <si>
    <t>Dimanche</t>
  </si>
  <si>
    <t>Lundi</t>
  </si>
  <si>
    <t>Mardi</t>
  </si>
  <si>
    <t>Mercredi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</si>
</sst>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_-;\-* #,##0.000_-;_-* &quot;-&quot;??_-;_-@_-"/>
  </numFmts>
  <fonts count="124"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sz val="11"/>
      <color indexed="81"/>
      <name val="Tahoma"/>
      <family val="2"/>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sz val="14"/>
      <color rgb="FFFF0000"/>
      <name val="Times New Roman"/>
      <family val="1"/>
    </font>
    <font>
      <i/>
      <sz val="12"/>
      <color theme="1"/>
      <name val="Times New Roman"/>
      <family val="1"/>
    </font>
    <font>
      <u/>
      <sz val="12"/>
      <color theme="1"/>
      <name val="Times New Roman"/>
      <family val="1"/>
    </font>
    <font>
      <i/>
      <sz val="8"/>
      <name val="Times New Roman"/>
      <family val="1"/>
    </font>
    <font>
      <b/>
      <sz val="8"/>
      <color rgb="FF000000"/>
      <name val="Arial Narrow"/>
      <family val="2"/>
    </font>
  </fonts>
  <fills count="1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
      <patternFill patternType="solid">
        <fgColor them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211">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9" xfId="0" applyFont="1" applyBorder="1" applyAlignment="1">
      <alignment horizont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0" fontId="32" fillId="0" borderId="13" xfId="0" applyFont="1" applyBorder="1" applyAlignment="1">
      <alignment horizontal="center"/>
    </xf>
    <xf numFmtId="0" fontId="32" fillId="0" borderId="8" xfId="0" applyFont="1" applyBorder="1" applyAlignment="1">
      <alignment horizontal="center"/>
    </xf>
    <xf numFmtId="43" fontId="32" fillId="2" borderId="1" xfId="1" applyFont="1" applyFill="1" applyBorder="1" applyAlignment="1">
      <alignment horizontal="center"/>
    </xf>
    <xf numFmtId="2" fontId="32" fillId="2" borderId="1" xfId="0" applyNumberFormat="1" applyFont="1" applyFill="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0" fontId="32" fillId="0" borderId="1" xfId="0" applyFont="1" applyBorder="1" applyAlignment="1">
      <alignment horizontal="center" vertical="center"/>
    </xf>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0" fontId="69"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7" fillId="0" borderId="0" xfId="4" applyAlignment="1">
      <alignment horizontal="center"/>
    </xf>
    <xf numFmtId="0" fontId="17" fillId="0" borderId="0" xfId="4"/>
    <xf numFmtId="0" fontId="18" fillId="0" borderId="9" xfId="4" applyFont="1" applyBorder="1" applyAlignment="1">
      <alignment horizontal="center" vertical="center" wrapText="1"/>
    </xf>
    <xf numFmtId="0" fontId="18" fillId="0" borderId="1" xfId="4" applyFont="1" applyBorder="1" applyAlignment="1">
      <alignment horizontal="center" vertical="center" wrapText="1"/>
    </xf>
    <xf numFmtId="0" fontId="70" fillId="0" borderId="9" xfId="0" applyFont="1" applyBorder="1" applyAlignment="1">
      <alignment horizontal="center" vertical="center" wrapText="1"/>
    </xf>
    <xf numFmtId="2" fontId="71" fillId="0" borderId="1" xfId="4" applyNumberFormat="1" applyFont="1" applyBorder="1" applyAlignment="1">
      <alignment horizontal="center" vertical="center" wrapText="1"/>
    </xf>
    <xf numFmtId="2" fontId="17" fillId="0" borderId="1" xfId="4" applyNumberFormat="1" applyBorder="1" applyAlignment="1">
      <alignment horizontal="center" vertical="center" wrapText="1"/>
    </xf>
    <xf numFmtId="43" fontId="17" fillId="0" borderId="1" xfId="1" applyFill="1" applyBorder="1" applyAlignment="1">
      <alignment horizontal="center" vertical="center" wrapText="1"/>
    </xf>
    <xf numFmtId="43" fontId="24" fillId="0" borderId="1" xfId="1" applyFont="1" applyFill="1" applyBorder="1" applyAlignment="1">
      <alignment horizontal="center" vertical="center" wrapText="1"/>
    </xf>
    <xf numFmtId="43" fontId="73" fillId="0" borderId="1" xfId="1" applyFont="1" applyFill="1" applyBorder="1" applyAlignment="1">
      <alignment horizontal="center" vertical="center" wrapText="1"/>
    </xf>
    <xf numFmtId="0" fontId="72" fillId="0" borderId="0" xfId="0" applyFont="1"/>
    <xf numFmtId="2" fontId="17" fillId="0" borderId="0" xfId="4" applyNumberFormat="1" applyAlignment="1">
      <alignment horizontal="center" vertical="center" wrapText="1"/>
    </xf>
    <xf numFmtId="2" fontId="17" fillId="0" borderId="13" xfId="4" applyNumberFormat="1" applyBorder="1" applyAlignment="1">
      <alignment horizontal="center" vertical="center" wrapText="1"/>
    </xf>
    <xf numFmtId="0" fontId="74" fillId="0" borderId="1" xfId="4" applyFont="1" applyBorder="1" applyAlignment="1">
      <alignment horizontal="center" vertical="center" wrapText="1"/>
    </xf>
    <xf numFmtId="43" fontId="74" fillId="0" borderId="1" xfId="1" applyFont="1" applyFill="1" applyBorder="1" applyAlignment="1">
      <alignment horizontal="center" vertical="center" wrapText="1"/>
    </xf>
    <xf numFmtId="14" fontId="47"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7" fillId="8" borderId="1" xfId="0" applyNumberFormat="1" applyFont="1" applyFill="1" applyBorder="1" applyAlignment="1">
      <alignment horizontal="center" vertical="center" wrapText="1"/>
    </xf>
    <xf numFmtId="0" fontId="47" fillId="8" borderId="1" xfId="0" applyFont="1" applyFill="1" applyBorder="1" applyAlignment="1">
      <alignment horizontal="center" vertical="center" wrapText="1"/>
    </xf>
    <xf numFmtId="0" fontId="47" fillId="9" borderId="1"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10" fontId="78" fillId="0" borderId="9" xfId="3" applyNumberFormat="1" applyFont="1" applyBorder="1" applyAlignment="1">
      <alignment horizontal="center" vertical="center"/>
    </xf>
    <xf numFmtId="43" fontId="79" fillId="0" borderId="1" xfId="1" applyFont="1" applyBorder="1" applyAlignment="1">
      <alignment horizontal="center" vertical="center"/>
    </xf>
    <xf numFmtId="43" fontId="78" fillId="0" borderId="1" xfId="1" applyFont="1" applyBorder="1" applyAlignment="1">
      <alignment horizontal="center" vertical="center"/>
    </xf>
    <xf numFmtId="0" fontId="76" fillId="0" borderId="0" xfId="0" applyFont="1"/>
    <xf numFmtId="171" fontId="79" fillId="0" borderId="9" xfId="1" applyNumberFormat="1" applyFont="1" applyBorder="1" applyAlignment="1">
      <alignment horizontal="right" vertical="center" wrapText="1"/>
    </xf>
    <xf numFmtId="171" fontId="79" fillId="0" borderId="1" xfId="1" applyNumberFormat="1" applyFont="1" applyBorder="1" applyAlignment="1">
      <alignment horizontal="right" vertical="center" wrapText="1"/>
    </xf>
    <xf numFmtId="43" fontId="79" fillId="0" borderId="1" xfId="1" applyFont="1" applyBorder="1" applyAlignment="1">
      <alignment horizontal="right" vertical="center"/>
    </xf>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15"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68"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3" fillId="0" borderId="1" xfId="4" applyNumberFormat="1" applyFont="1" applyBorder="1" applyAlignment="1">
      <alignment horizontal="center" vertical="center" wrapText="1"/>
    </xf>
    <xf numFmtId="1" fontId="80" fillId="11" borderId="9" xfId="4" applyNumberFormat="1" applyFont="1" applyFill="1" applyBorder="1" applyAlignment="1">
      <alignment horizontal="center" vertical="center" wrapText="1"/>
    </xf>
    <xf numFmtId="0" fontId="84" fillId="11" borderId="1" xfId="0" applyFont="1" applyFill="1" applyBorder="1" applyAlignment="1">
      <alignment horizontal="center" vertical="center" wrapText="1"/>
    </xf>
    <xf numFmtId="43" fontId="24" fillId="0" borderId="1" xfId="1" quotePrefix="1" applyFont="1" applyFill="1" applyBorder="1" applyAlignment="1">
      <alignment horizontal="center" vertical="center" wrapText="1"/>
    </xf>
    <xf numFmtId="2" fontId="24" fillId="0" borderId="1" xfId="4" applyNumberFormat="1" applyFont="1" applyBorder="1" applyAlignment="1">
      <alignment horizontal="center" vertical="center" wrapText="1"/>
    </xf>
    <xf numFmtId="0" fontId="47" fillId="0" borderId="13" xfId="0" applyFont="1" applyBorder="1" applyAlignment="1">
      <alignment horizontal="center" vertical="center" wrapText="1"/>
    </xf>
    <xf numFmtId="14" fontId="47" fillId="8" borderId="13" xfId="0" applyNumberFormat="1" applyFont="1" applyFill="1" applyBorder="1" applyAlignment="1">
      <alignment horizontal="center" vertical="center" wrapText="1"/>
    </xf>
    <xf numFmtId="0" fontId="86"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1" fillId="0" borderId="0" xfId="0" applyFont="1"/>
    <xf numFmtId="0" fontId="89" fillId="0" borderId="0" xfId="0" applyFont="1"/>
    <xf numFmtId="0" fontId="90" fillId="0" borderId="0" xfId="0" applyFont="1"/>
    <xf numFmtId="4" fontId="89" fillId="0" borderId="0" xfId="0" applyNumberFormat="1" applyFont="1"/>
    <xf numFmtId="0" fontId="47" fillId="0" borderId="0" xfId="0" applyFont="1"/>
    <xf numFmtId="0" fontId="91" fillId="0" borderId="0" xfId="0" applyFont="1"/>
    <xf numFmtId="0" fontId="0" fillId="0" borderId="0" xfId="0" applyAlignment="1">
      <alignment horizontal="left"/>
    </xf>
    <xf numFmtId="0" fontId="25" fillId="0" borderId="0" xfId="0" applyFont="1" applyAlignment="1">
      <alignment horizontal="left"/>
    </xf>
    <xf numFmtId="43" fontId="32" fillId="2" borderId="9" xfId="1" applyFont="1" applyFill="1" applyBorder="1" applyAlignment="1">
      <alignment horizontal="center"/>
    </xf>
    <xf numFmtId="0" fontId="32" fillId="0" borderId="8" xfId="0" quotePrefix="1" applyFont="1" applyBorder="1" applyAlignment="1">
      <alignment horizontal="center"/>
    </xf>
    <xf numFmtId="0" fontId="32" fillId="0" borderId="9" xfId="0" quotePrefix="1" applyFont="1" applyBorder="1" applyAlignment="1">
      <alignment horizontal="center"/>
    </xf>
    <xf numFmtId="0" fontId="32" fillId="0" borderId="14" xfId="0" applyFont="1" applyBorder="1" applyAlignment="1">
      <alignment horizontal="center" vertical="center" wrapText="1"/>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92"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0" fontId="32" fillId="0" borderId="0" xfId="0" applyFont="1" applyProtection="1">
      <protection locked="0"/>
    </xf>
    <xf numFmtId="2" fontId="0" fillId="0" borderId="0" xfId="0" applyNumberFormat="1"/>
    <xf numFmtId="0" fontId="80" fillId="12"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1" fontId="0" fillId="2" borderId="9" xfId="4" applyNumberFormat="1" applyFont="1" applyFill="1" applyBorder="1" applyAlignment="1">
      <alignment horizontal="center" vertical="center" wrapText="1"/>
    </xf>
    <xf numFmtId="0" fontId="72" fillId="2" borderId="1" xfId="0" applyFont="1" applyFill="1" applyBorder="1" applyAlignment="1">
      <alignment horizontal="center" vertical="center" wrapText="1"/>
    </xf>
    <xf numFmtId="14" fontId="18"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95" fillId="0" borderId="0" xfId="0" applyFont="1" applyAlignment="1">
      <alignment horizontal="center" vertical="center" wrapText="1"/>
    </xf>
    <xf numFmtId="14" fontId="18"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69" fillId="0" borderId="0" xfId="0" applyFont="1" applyAlignment="1">
      <alignment horizontal="center" vertical="center" wrapText="1"/>
    </xf>
    <xf numFmtId="0" fontId="45" fillId="8" borderId="1" xfId="4" applyFont="1" applyFill="1" applyBorder="1" applyAlignment="1">
      <alignment horizontal="center" vertical="center" wrapText="1"/>
    </xf>
    <xf numFmtId="0" fontId="45" fillId="8" borderId="11" xfId="4" applyFont="1" applyFill="1" applyBorder="1" applyAlignment="1">
      <alignment horizontal="center" vertical="center" wrapText="1"/>
    </xf>
    <xf numFmtId="0" fontId="45" fillId="8" borderId="14" xfId="4" applyFont="1" applyFill="1" applyBorder="1" applyAlignment="1">
      <alignment horizontal="center" vertical="center" wrapText="1"/>
    </xf>
    <xf numFmtId="0" fontId="73" fillId="0" borderId="1" xfId="0" applyFont="1" applyBorder="1" applyAlignment="1">
      <alignment horizontal="center" vertical="center" wrapText="1"/>
    </xf>
    <xf numFmtId="0" fontId="83" fillId="0" borderId="1" xfId="4" applyFont="1" applyBorder="1" applyAlignment="1">
      <alignment horizontal="center" vertical="center" wrapText="1"/>
    </xf>
    <xf numFmtId="14" fontId="24" fillId="0" borderId="1" xfId="4" applyNumberFormat="1" applyFont="1" applyBorder="1" applyAlignment="1">
      <alignment horizontal="center" vertical="center" wrapText="1"/>
    </xf>
    <xf numFmtId="1" fontId="38" fillId="2" borderId="1" xfId="4" applyNumberFormat="1" applyFont="1" applyFill="1" applyBorder="1" applyAlignment="1">
      <alignment horizontal="center" vertical="center" wrapText="1"/>
    </xf>
    <xf numFmtId="2" fontId="38" fillId="8" borderId="1" xfId="4"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38" fillId="2" borderId="1" xfId="4" applyNumberFormat="1" applyFont="1" applyFill="1" applyBorder="1" applyAlignment="1">
      <alignment horizontal="center" vertical="center" wrapText="1"/>
    </xf>
    <xf numFmtId="2" fontId="38" fillId="0" borderId="1" xfId="4"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0" fontId="38" fillId="0" borderId="1" xfId="4" applyFont="1" applyBorder="1" applyAlignment="1">
      <alignment horizontal="center" vertical="center" wrapText="1"/>
    </xf>
    <xf numFmtId="14" fontId="38" fillId="0" borderId="1" xfId="4" applyNumberFormat="1" applyFont="1" applyBorder="1" applyAlignment="1">
      <alignment horizontal="center" vertical="center" wrapText="1"/>
    </xf>
    <xf numFmtId="0" fontId="2" fillId="0" borderId="1" xfId="4" applyFont="1" applyBorder="1" applyAlignment="1">
      <alignment horizontal="center" vertical="center" wrapText="1"/>
    </xf>
    <xf numFmtId="2" fontId="33" fillId="0" borderId="2" xfId="4" applyNumberFormat="1" applyFont="1" applyBorder="1" applyAlignment="1">
      <alignment horizontal="center" vertical="center" wrapText="1"/>
    </xf>
    <xf numFmtId="2" fontId="33" fillId="0" borderId="1" xfId="4" applyNumberFormat="1" applyFont="1" applyBorder="1" applyAlignment="1">
      <alignment horizontal="center" vertical="center" wrapText="1"/>
    </xf>
    <xf numFmtId="0" fontId="33" fillId="0" borderId="1" xfId="4" applyFont="1" applyBorder="1" applyAlignment="1">
      <alignment horizontal="center" vertical="center" wrapText="1"/>
    </xf>
    <xf numFmtId="2" fontId="39" fillId="0" borderId="1" xfId="4" applyNumberFormat="1" applyFont="1" applyBorder="1" applyAlignment="1">
      <alignment horizontal="center" vertical="center" wrapText="1"/>
    </xf>
    <xf numFmtId="2" fontId="33" fillId="0" borderId="0" xfId="4" applyNumberFormat="1" applyFont="1" applyAlignment="1">
      <alignment horizontal="center" vertical="center" wrapText="1"/>
    </xf>
    <xf numFmtId="0" fontId="11" fillId="0" borderId="1" xfId="4" applyFont="1" applyBorder="1" applyAlignment="1">
      <alignment horizontal="center" vertical="center" wrapText="1"/>
    </xf>
    <xf numFmtId="0" fontId="11" fillId="0" borderId="0" xfId="4" applyFont="1" applyAlignment="1">
      <alignment horizontal="center" vertical="center" wrapText="1"/>
    </xf>
    <xf numFmtId="2" fontId="44" fillId="0" borderId="0" xfId="4" applyNumberFormat="1" applyFont="1" applyAlignment="1">
      <alignment horizontal="center" vertical="center" wrapText="1"/>
    </xf>
    <xf numFmtId="43" fontId="32" fillId="2" borderId="1" xfId="1" applyFont="1" applyFill="1" applyBorder="1" applyAlignment="1">
      <alignment vertical="center" wrapText="1"/>
    </xf>
    <xf numFmtId="0" fontId="34" fillId="0" borderId="1" xfId="0" applyFont="1" applyBorder="1" applyAlignment="1">
      <alignment horizontal="center" vertical="center"/>
    </xf>
    <xf numFmtId="0" fontId="32" fillId="0" borderId="1" xfId="0" applyFont="1" applyBorder="1" applyAlignment="1">
      <alignment vertical="center"/>
    </xf>
    <xf numFmtId="43" fontId="32" fillId="0" borderId="0" xfId="1" applyFont="1" applyBorder="1" applyAlignment="1">
      <alignment vertical="center" wrapText="1"/>
    </xf>
    <xf numFmtId="164" fontId="32" fillId="0" borderId="1" xfId="0" applyNumberFormat="1" applyFont="1" applyBorder="1" applyAlignment="1">
      <alignment vertical="center"/>
    </xf>
    <xf numFmtId="164" fontId="34" fillId="0" borderId="1" xfId="0" applyNumberFormat="1" applyFont="1" applyBorder="1" applyAlignment="1">
      <alignment vertical="center"/>
    </xf>
    <xf numFmtId="0" fontId="32" fillId="0" borderId="1" xfId="0" applyFont="1" applyBorder="1" applyAlignment="1">
      <alignment horizontal="right" vertical="center"/>
    </xf>
    <xf numFmtId="43" fontId="32" fillId="0" borderId="1" xfId="1" applyFont="1" applyBorder="1" applyAlignment="1">
      <alignment horizontal="center" vertical="center"/>
    </xf>
    <xf numFmtId="0" fontId="34" fillId="0" borderId="1" xfId="0" applyFont="1" applyBorder="1" applyAlignment="1">
      <alignment horizontal="right" vertical="center"/>
    </xf>
    <xf numFmtId="43" fontId="34" fillId="0" borderId="1" xfId="1" applyFont="1" applyBorder="1" applyAlignment="1">
      <alignment horizontal="center" vertical="center"/>
    </xf>
    <xf numFmtId="43" fontId="32" fillId="0" borderId="1" xfId="1" applyFont="1" applyBorder="1" applyAlignment="1">
      <alignment horizontal="center" vertical="center" wrapText="1"/>
    </xf>
    <xf numFmtId="43" fontId="32" fillId="0" borderId="0" xfId="1" applyFont="1" applyAlignment="1"/>
    <xf numFmtId="2" fontId="24" fillId="0" borderId="0" xfId="4" applyNumberFormat="1" applyFont="1" applyAlignment="1">
      <alignment horizontal="center" vertical="center" wrapText="1"/>
    </xf>
    <xf numFmtId="43" fontId="17" fillId="0" borderId="0" xfId="1" applyFill="1" applyBorder="1" applyAlignment="1">
      <alignment horizontal="center" vertical="center" wrapText="1"/>
    </xf>
    <xf numFmtId="43" fontId="74" fillId="2" borderId="1" xfId="0" applyNumberFormat="1" applyFont="1" applyFill="1" applyBorder="1" applyAlignment="1">
      <alignment horizontal="center" vertical="center" wrapText="1"/>
    </xf>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14" fontId="32" fillId="2" borderId="9" xfId="0" applyNumberFormat="1" applyFont="1" applyFill="1" applyBorder="1" applyAlignment="1">
      <alignment horizontal="center"/>
    </xf>
    <xf numFmtId="14" fontId="32" fillId="2" borderId="1" xfId="0" applyNumberFormat="1" applyFont="1" applyFill="1" applyBorder="1" applyAlignment="1">
      <alignment horizont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0" xfId="0" quotePrefix="1" applyFont="1"/>
    <xf numFmtId="0" fontId="100"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101" fillId="10" borderId="4" xfId="1" applyNumberFormat="1" applyFont="1" applyFill="1" applyBorder="1" applyAlignment="1">
      <alignment horizontal="center" vertical="center" wrapText="1"/>
    </xf>
    <xf numFmtId="10" fontId="88" fillId="10" borderId="1" xfId="3" applyNumberFormat="1" applyFont="1" applyFill="1" applyBorder="1" applyAlignment="1">
      <alignment horizontal="center" vertical="center"/>
    </xf>
    <xf numFmtId="0" fontId="80" fillId="11"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101" fillId="10"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103" fillId="11" borderId="0" xfId="0" applyFont="1" applyFill="1"/>
    <xf numFmtId="0" fontId="104" fillId="11"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110" fillId="13"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171" fontId="107" fillId="0" borderId="1" xfId="1" applyNumberFormat="1" applyFont="1" applyFill="1" applyBorder="1" applyAlignment="1">
      <alignment horizontal="right" vertical="center" wrapText="1"/>
    </xf>
    <xf numFmtId="43" fontId="38" fillId="0" borderId="1" xfId="1" applyFont="1" applyBorder="1" applyAlignment="1">
      <alignment horizontal="center" vertical="center" wrapText="1"/>
    </xf>
    <xf numFmtId="171" fontId="107" fillId="8" borderId="9" xfId="1" quotePrefix="1" applyNumberFormat="1" applyFont="1" applyFill="1" applyBorder="1" applyAlignment="1">
      <alignment horizontal="center" vertical="center" wrapText="1"/>
    </xf>
    <xf numFmtId="177" fontId="110" fillId="8" borderId="1" xfId="1" applyNumberFormat="1" applyFont="1" applyFill="1" applyBorder="1" applyAlignment="1">
      <alignment horizontal="center" vertical="center" wrapText="1"/>
    </xf>
    <xf numFmtId="177" fontId="110" fillId="8" borderId="0" xfId="1" applyNumberFormat="1" applyFont="1" applyFill="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27" fillId="0" borderId="1" xfId="0" applyFont="1" applyBorder="1"/>
    <xf numFmtId="2" fontId="27" fillId="2" borderId="1" xfId="0" applyNumberFormat="1" applyFont="1" applyFill="1" applyBorder="1" applyAlignment="1">
      <alignment horizontal="center" vertical="center"/>
    </xf>
    <xf numFmtId="0" fontId="39" fillId="0" borderId="0" xfId="0" applyFont="1" applyAlignment="1">
      <alignment horizontal="center"/>
    </xf>
    <xf numFmtId="0" fontId="33" fillId="0" borderId="0" xfId="0" applyFont="1" applyAlignment="1">
      <alignment vertical="center"/>
    </xf>
    <xf numFmtId="0" fontId="33" fillId="15" borderId="0" xfId="0" applyFont="1" applyFill="1" applyAlignment="1">
      <alignment horizontal="left"/>
    </xf>
    <xf numFmtId="0" fontId="32" fillId="15" borderId="0" xfId="0" applyFont="1" applyFill="1" applyAlignment="1">
      <alignment horizontal="left"/>
    </xf>
    <xf numFmtId="0" fontId="11" fillId="15" borderId="0" xfId="0" applyFont="1" applyFill="1" applyAlignment="1">
      <alignment horizontal="left"/>
    </xf>
    <xf numFmtId="17" fontId="33" fillId="0" borderId="0" xfId="0" applyNumberFormat="1" applyFont="1"/>
    <xf numFmtId="0" fontId="33" fillId="0" borderId="0" xfId="0" quotePrefix="1" applyFont="1"/>
    <xf numFmtId="0" fontId="121" fillId="0" borderId="0" xfId="0" applyFont="1"/>
    <xf numFmtId="43" fontId="33" fillId="0" borderId="0" xfId="1" applyFont="1"/>
    <xf numFmtId="0" fontId="33" fillId="0" borderId="1" xfId="0" applyFont="1" applyBorder="1"/>
    <xf numFmtId="14" fontId="27" fillId="2" borderId="1" xfId="0" applyNumberFormat="1" applyFont="1" applyFill="1" applyBorder="1" applyAlignment="1">
      <alignment horizontal="center" vertical="center"/>
    </xf>
    <xf numFmtId="43" fontId="27" fillId="2" borderId="1" xfId="1" applyFont="1" applyFill="1" applyBorder="1" applyAlignment="1">
      <alignment horizontal="center" vertical="center"/>
    </xf>
    <xf numFmtId="2" fontId="27" fillId="0" borderId="1" xfId="0" applyNumberFormat="1" applyFont="1" applyBorder="1" applyAlignment="1">
      <alignment horizontal="center" vertical="center"/>
    </xf>
    <xf numFmtId="164" fontId="16" fillId="0" borderId="1" xfId="2" applyNumberFormat="1" applyFont="1" applyBorder="1" applyAlignment="1">
      <alignment horizontal="center" vertical="center" wrapText="1"/>
    </xf>
    <xf numFmtId="0" fontId="16" fillId="0" borderId="1" xfId="2"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122" fillId="0" borderId="1" xfId="2" applyFont="1" applyBorder="1" applyAlignment="1">
      <alignment horizontal="center" vertical="center" wrapText="1"/>
    </xf>
    <xf numFmtId="164" fontId="23" fillId="0" borderId="1" xfId="0" applyNumberFormat="1" applyFont="1" applyBorder="1"/>
    <xf numFmtId="43" fontId="23" fillId="0" borderId="1" xfId="0" applyNumberFormat="1" applyFont="1" applyBorder="1" applyAlignment="1">
      <alignment horizontal="right"/>
    </xf>
    <xf numFmtId="0" fontId="23" fillId="0" borderId="1" xfId="0" applyFont="1" applyBorder="1"/>
    <xf numFmtId="164" fontId="23" fillId="0" borderId="1" xfId="0" quotePrefix="1" applyNumberFormat="1" applyFont="1" applyBorder="1"/>
    <xf numFmtId="0" fontId="16" fillId="0" borderId="1" xfId="2" applyFont="1" applyBorder="1" applyAlignment="1">
      <alignment horizontal="right"/>
    </xf>
    <xf numFmtId="0" fontId="122" fillId="0" borderId="1" xfId="2" applyFont="1" applyBorder="1" applyAlignment="1">
      <alignment horizontal="center"/>
    </xf>
    <xf numFmtId="0" fontId="16" fillId="0" borderId="1" xfId="2" applyFont="1" applyBorder="1"/>
    <xf numFmtId="4" fontId="16" fillId="0" borderId="1" xfId="2" applyNumberFormat="1" applyFont="1" applyBorder="1"/>
    <xf numFmtId="4" fontId="63" fillId="0" borderId="1" xfId="0" applyNumberFormat="1" applyFont="1" applyBorder="1" applyAlignment="1">
      <alignment horizontal="right"/>
    </xf>
    <xf numFmtId="4" fontId="123" fillId="0" borderId="1" xfId="0" applyNumberFormat="1" applyFont="1" applyBorder="1" applyAlignment="1">
      <alignment horizontal="center" vertical="center"/>
    </xf>
    <xf numFmtId="184" fontId="33" fillId="0" borderId="0" xfId="1" applyNumberFormat="1" applyFont="1"/>
    <xf numFmtId="16" fontId="33" fillId="0" borderId="0" xfId="0" applyNumberFormat="1" applyFont="1"/>
    <xf numFmtId="16" fontId="33" fillId="2" borderId="0" xfId="0" applyNumberFormat="1" applyFont="1" applyFill="1"/>
    <xf numFmtId="0" fontId="33" fillId="2" borderId="0" xfId="0" applyFont="1" applyFill="1"/>
    <xf numFmtId="43" fontId="27" fillId="2" borderId="1" xfId="0" applyNumberFormat="1" applyFont="1" applyFill="1" applyBorder="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85" fillId="2" borderId="3" xfId="0" applyFont="1" applyFill="1" applyBorder="1" applyAlignment="1">
      <alignment horizontal="center" vertical="center" wrapText="1"/>
    </xf>
    <xf numFmtId="0" fontId="85" fillId="2" borderId="5" xfId="0" applyFont="1" applyFill="1" applyBorder="1" applyAlignment="1">
      <alignment horizontal="center" vertical="center" wrapText="1"/>
    </xf>
    <xf numFmtId="0" fontId="85" fillId="2" borderId="11" xfId="0" applyFont="1" applyFill="1" applyBorder="1" applyAlignment="1">
      <alignment horizontal="center" vertical="center" wrapText="1"/>
    </xf>
    <xf numFmtId="0" fontId="85" fillId="2" borderId="12" xfId="0" applyFont="1" applyFill="1" applyBorder="1" applyAlignment="1">
      <alignment horizontal="center" vertical="center" wrapText="1"/>
    </xf>
    <xf numFmtId="0" fontId="85" fillId="2" borderId="6" xfId="0" applyFont="1" applyFill="1" applyBorder="1" applyAlignment="1">
      <alignment horizontal="center" vertical="center" wrapText="1"/>
    </xf>
    <xf numFmtId="0" fontId="85"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120" fillId="0" borderId="7" xfId="0" applyFont="1" applyBorder="1" applyAlignment="1">
      <alignment horizontal="left" vertical="center" wrapText="1"/>
    </xf>
    <xf numFmtId="0" fontId="33" fillId="0" borderId="0" xfId="0" quotePrefix="1" applyFont="1" applyAlignment="1">
      <alignment horizontal="center" vertical="center" wrapText="1"/>
    </xf>
    <xf numFmtId="0" fontId="33" fillId="0" borderId="0" xfId="0" applyFont="1" applyAlignment="1">
      <alignment horizontal="center" vertical="center" wrapText="1"/>
    </xf>
    <xf numFmtId="0" fontId="27" fillId="7" borderId="1" xfId="0" applyFont="1" applyFill="1" applyBorder="1" applyAlignment="1">
      <alignment horizontal="center"/>
    </xf>
    <xf numFmtId="0" fontId="2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0" fontId="9" fillId="0" borderId="1" xfId="0" applyFont="1" applyBorder="1" applyAlignment="1">
      <alignment horizontal="center" vertical="center" wrapText="1"/>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66" fillId="0" borderId="0" xfId="0" applyFont="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43" fontId="23" fillId="2" borderId="1" xfId="1" quotePrefix="1" applyFont="1" applyFill="1" applyBorder="1" applyAlignment="1"/>
    <xf numFmtId="43" fontId="23" fillId="2" borderId="1" xfId="1" applyFont="1" applyFill="1" applyBorder="1" applyAlignment="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102" fillId="13" borderId="0" xfId="0" applyFont="1" applyFill="1" applyAlignment="1">
      <alignment horizontal="center"/>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7"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7" fillId="5" borderId="1" xfId="0" applyFont="1" applyFill="1" applyBorder="1"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3" fillId="0" borderId="0" xfId="0" applyFont="1" applyAlignment="1">
      <alignment horizontal="center"/>
    </xf>
    <xf numFmtId="0" fontId="20" fillId="0" borderId="0" xfId="0" applyFont="1" applyAlignment="1">
      <alignment horizontal="left"/>
    </xf>
    <xf numFmtId="0" fontId="0" fillId="0" borderId="0" xfId="0"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1" xfId="0" applyFont="1" applyBorder="1" applyAlignment="1">
      <alignment horizontal="right"/>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113" fillId="13" borderId="25" xfId="2" applyFont="1" applyFill="1" applyBorder="1" applyAlignment="1">
      <alignment horizontal="center" vertical="center" wrapText="1"/>
    </xf>
    <xf numFmtId="0" fontId="113" fillId="13"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0" fontId="102" fillId="13" borderId="0" xfId="0" applyFont="1" applyFill="1" applyAlignment="1">
      <alignment horizontal="center" vertical="center" wrapText="1"/>
    </xf>
    <xf numFmtId="0" fontId="2" fillId="0" borderId="15" xfId="0" applyFont="1" applyBorder="1" applyAlignment="1">
      <alignment horizontal="left" vertical="center" wrapText="1"/>
    </xf>
    <xf numFmtId="0" fontId="15" fillId="0" borderId="17" xfId="2" applyFont="1" applyBorder="1" applyAlignment="1">
      <alignment horizontal="center"/>
    </xf>
    <xf numFmtId="0" fontId="58" fillId="0" borderId="10" xfId="2" applyFont="1" applyBorder="1" applyAlignment="1">
      <alignment horizontal="right" vertical="center" wrapText="1"/>
    </xf>
    <xf numFmtId="0" fontId="58" fillId="0" borderId="15" xfId="2" applyFont="1" applyBorder="1" applyAlignment="1">
      <alignment horizontal="right" vertical="center" wrapText="1"/>
    </xf>
    <xf numFmtId="0" fontId="58" fillId="0" borderId="9" xfId="2" applyFont="1" applyBorder="1" applyAlignment="1">
      <alignment horizontal="right" vertical="center" wrapText="1"/>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98" fillId="10" borderId="8" xfId="3" applyFont="1" applyFill="1" applyBorder="1" applyAlignment="1">
      <alignment horizontal="center" vertical="center" wrapText="1"/>
    </xf>
    <xf numFmtId="9" fontId="98" fillId="10" borderId="13" xfId="3" applyFont="1" applyFill="1" applyBorder="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2" fillId="0" borderId="15" xfId="0" applyFont="1" applyBorder="1" applyAlignment="1">
      <alignment vertical="center" wrapText="1"/>
    </xf>
    <xf numFmtId="0" fontId="2" fillId="0" borderId="9"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6" fillId="0" borderId="0" xfId="0" applyFont="1" applyAlignment="1">
      <alignment horizontal="left" vertical="center"/>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25" fillId="0" borderId="0" xfId="0" applyFont="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4" fontId="40" fillId="0" borderId="1" xfId="0" applyNumberFormat="1" applyFont="1" applyBorder="1" applyAlignment="1">
      <alignment horizontal="center"/>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2" fillId="0" borderId="1" xfId="0" applyFont="1" applyBorder="1" applyAlignment="1">
      <alignment vertical="center" wrapText="1"/>
    </xf>
    <xf numFmtId="0" fontId="98" fillId="10" borderId="8" xfId="0" applyFont="1" applyFill="1" applyBorder="1" applyAlignment="1">
      <alignment horizontal="center" vertical="center" wrapText="1"/>
    </xf>
    <xf numFmtId="0" fontId="98" fillId="10"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39" fillId="0" borderId="1" xfId="0" applyFont="1" applyBorder="1" applyAlignment="1">
      <alignment horizontal="right"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164" fontId="40" fillId="0" borderId="1" xfId="0" applyNumberFormat="1" applyFont="1" applyBorder="1" applyAlignment="1">
      <alignment horizontal="center"/>
    </xf>
    <xf numFmtId="0" fontId="40" fillId="0" borderId="1" xfId="0" applyFont="1" applyBorder="1" applyAlignment="1">
      <alignment horizontal="center"/>
    </xf>
    <xf numFmtId="0" fontId="41" fillId="0" borderId="1" xfId="0" applyFont="1" applyBorder="1" applyAlignment="1">
      <alignment horizontal="right"/>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41" fillId="0" borderId="10" xfId="0" applyFont="1" applyBorder="1" applyAlignment="1">
      <alignment horizontal="right"/>
    </xf>
    <xf numFmtId="0" fontId="41" fillId="0" borderId="15" xfId="0" applyFont="1" applyBorder="1" applyAlignment="1">
      <alignment horizontal="right"/>
    </xf>
    <xf numFmtId="0" fontId="41" fillId="0" borderId="9" xfId="0" applyFont="1" applyBorder="1" applyAlignment="1">
      <alignment horizontal="right"/>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2" fillId="0" borderId="1" xfId="0" applyFont="1" applyBorder="1" applyAlignment="1">
      <alignment horizontal="center"/>
    </xf>
    <xf numFmtId="0" fontId="32" fillId="0" borderId="1" xfId="0" applyFont="1" applyBorder="1" applyAlignment="1">
      <alignment horizontal="center" vertical="center" wrapText="1"/>
    </xf>
    <xf numFmtId="0" fontId="106" fillId="8" borderId="1" xfId="0" applyFont="1" applyFill="1" applyBorder="1" applyAlignment="1">
      <alignment horizontal="center" vertical="center" wrapText="1"/>
    </xf>
    <xf numFmtId="0" fontId="106" fillId="8" borderId="1" xfId="0" applyFont="1" applyFill="1" applyBorder="1" applyAlignment="1">
      <alignment horizontal="center" vertical="center"/>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32" fillId="0" borderId="1" xfId="0" quotePrefix="1" applyFont="1" applyBorder="1" applyAlignment="1">
      <alignment horizontal="center"/>
    </xf>
    <xf numFmtId="0" fontId="16" fillId="0" borderId="0" xfId="2" applyFont="1" applyAlignment="1">
      <alignment horizontal="center"/>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114" fillId="13" borderId="0" xfId="2" applyFont="1" applyFill="1" applyAlignment="1">
      <alignment horizontal="center" vertical="center" wrapText="1"/>
    </xf>
    <xf numFmtId="0" fontId="15" fillId="0" borderId="0" xfId="2" applyFont="1" applyAlignment="1">
      <alignment horizontal="right" vertical="center" wrapText="1"/>
    </xf>
    <xf numFmtId="0" fontId="15" fillId="0" borderId="0" xfId="2" applyFont="1" applyAlignment="1">
      <alignment horizontal="center"/>
    </xf>
    <xf numFmtId="0" fontId="15" fillId="0" borderId="0" xfId="0" applyFont="1" applyAlignment="1">
      <alignment horizontal="left"/>
    </xf>
    <xf numFmtId="0" fontId="15" fillId="0" borderId="0" xfId="2" applyFont="1" applyAlignment="1">
      <alignment horizontal="center" vertical="center" wrapText="1"/>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0" fontId="63" fillId="4" borderId="0" xfId="0" applyFont="1" applyFill="1" applyAlignment="1">
      <alignment horizontal="center" vertical="center" wrapText="1"/>
    </xf>
    <xf numFmtId="0" fontId="30" fillId="4" borderId="0" xfId="0" applyFont="1" applyFill="1" applyAlignment="1">
      <alignment horizontal="center" vertical="center" wrapText="1"/>
    </xf>
    <xf numFmtId="0" fontId="61" fillId="4" borderId="0" xfId="0" applyFont="1" applyFill="1" applyAlignment="1">
      <alignment horizontal="center" vertical="center" wrapText="1"/>
    </xf>
    <xf numFmtId="0" fontId="32" fillId="4" borderId="0" xfId="0" applyFont="1" applyFill="1" applyAlignment="1">
      <alignment horizontal="center"/>
    </xf>
    <xf numFmtId="0" fontId="118" fillId="0" borderId="0" xfId="0" applyFont="1" applyAlignment="1">
      <alignment horizontal="center"/>
    </xf>
    <xf numFmtId="4" fontId="30" fillId="0" borderId="0" xfId="0" applyNumberFormat="1" applyFont="1" applyAlignment="1">
      <alignment horizontal="center" vertical="center"/>
    </xf>
    <xf numFmtId="0" fontId="2" fillId="0" borderId="0" xfId="0" applyFont="1" applyAlignment="1">
      <alignment horizontal="left" vertical="center" wrapText="1"/>
    </xf>
    <xf numFmtId="0" fontId="6" fillId="0" borderId="0" xfId="0" applyFont="1" applyAlignment="1">
      <alignment horizontal="left" vertical="center" wrapText="1"/>
    </xf>
    <xf numFmtId="4" fontId="30" fillId="4" borderId="0" xfId="0" applyNumberFormat="1" applyFont="1" applyFill="1" applyAlignment="1">
      <alignment horizontal="center" vertical="center"/>
    </xf>
    <xf numFmtId="0" fontId="2" fillId="0" borderId="0" xfId="0" applyFont="1" applyAlignment="1">
      <alignment horizontal="left" vertical="center"/>
    </xf>
    <xf numFmtId="4" fontId="30" fillId="4" borderId="0" xfId="0" quotePrefix="1" applyNumberFormat="1" applyFont="1" applyFill="1" applyAlignment="1">
      <alignment horizontal="center" vertical="center"/>
    </xf>
    <xf numFmtId="0" fontId="2" fillId="0" borderId="0" xfId="0" applyFont="1" applyAlignment="1">
      <alignment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9" fillId="0" borderId="0" xfId="0" applyFont="1" applyAlignment="1">
      <alignment horizontal="center" vertical="center" wrapText="1"/>
    </xf>
    <xf numFmtId="0" fontId="111" fillId="0" borderId="0" xfId="0" applyFont="1" applyAlignment="1">
      <alignment horizontal="right" vertical="center" wrapText="1"/>
    </xf>
    <xf numFmtId="0" fontId="117" fillId="0" borderId="0" xfId="0" applyFont="1" applyAlignment="1">
      <alignment horizontal="right" vertical="center" wrapText="1"/>
    </xf>
    <xf numFmtId="0" fontId="117" fillId="0" borderId="0" xfId="0" applyFont="1" applyAlignment="1">
      <alignment horizontal="center" vertical="center" wrapText="1"/>
    </xf>
    <xf numFmtId="4" fontId="117" fillId="0" borderId="0" xfId="0" applyNumberFormat="1" applyFont="1" applyAlignment="1">
      <alignment horizontal="center" vertical="center" wrapText="1"/>
    </xf>
    <xf numFmtId="10" fontId="117" fillId="0" borderId="0" xfId="0" applyNumberFormat="1" applyFont="1" applyAlignment="1">
      <alignment horizontal="center" vertical="center" wrapText="1"/>
    </xf>
    <xf numFmtId="0" fontId="30" fillId="0" borderId="0" xfId="0" applyFont="1" applyAlignment="1">
      <alignment horizontal="center" vertical="center" wrapText="1"/>
    </xf>
    <xf numFmtId="0" fontId="115" fillId="13" borderId="3" xfId="0" applyFont="1" applyFill="1" applyBorder="1" applyAlignment="1">
      <alignment horizontal="center" vertical="center" wrapText="1"/>
    </xf>
    <xf numFmtId="0" fontId="115" fillId="13" borderId="4" xfId="0" applyFont="1" applyFill="1" applyBorder="1" applyAlignment="1">
      <alignment horizontal="center" vertical="center" wrapText="1"/>
    </xf>
    <xf numFmtId="0" fontId="115" fillId="13" borderId="5" xfId="0" applyFont="1" applyFill="1" applyBorder="1" applyAlignment="1">
      <alignment horizontal="center" vertical="center" wrapText="1"/>
    </xf>
    <xf numFmtId="0" fontId="116" fillId="4" borderId="0" xfId="0" applyFont="1" applyFill="1" applyAlignment="1">
      <alignment horizontal="center" vertical="center" wrapText="1"/>
    </xf>
    <xf numFmtId="0" fontId="33" fillId="4" borderId="0" xfId="0" applyFont="1" applyFill="1" applyAlignment="1">
      <alignment horizontal="center" vertical="center"/>
    </xf>
    <xf numFmtId="0" fontId="41" fillId="4" borderId="0" xfId="0" applyFont="1" applyFill="1" applyAlignment="1">
      <alignment horizontal="center" vertical="center" wrapText="1"/>
    </xf>
    <xf numFmtId="43" fontId="44" fillId="0" borderId="1" xfId="1" applyFont="1" applyFill="1" applyBorder="1" applyAlignment="1"/>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0" fontId="80" fillId="10" borderId="0" xfId="0" applyFont="1" applyFill="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2" fillId="0" borderId="10" xfId="0" applyFont="1" applyBorder="1" applyAlignment="1">
      <alignment horizontal="center" vertical="center" wrapText="1"/>
    </xf>
    <xf numFmtId="0" fontId="34" fillId="0" borderId="15" xfId="0" applyFont="1" applyBorder="1" applyAlignment="1">
      <alignment horizontal="center" vertical="center" wrapText="1"/>
    </xf>
    <xf numFmtId="174" fontId="101" fillId="11" borderId="1" xfId="1" applyNumberFormat="1" applyFont="1" applyFill="1" applyBorder="1" applyAlignment="1">
      <alignment horizontal="center" vertical="center" wrapText="1"/>
    </xf>
    <xf numFmtId="0" fontId="80" fillId="11" borderId="10" xfId="0" applyFont="1" applyFill="1" applyBorder="1" applyAlignment="1">
      <alignment horizontal="center" vertical="center" wrapText="1"/>
    </xf>
    <xf numFmtId="0" fontId="80" fillId="11" borderId="9" xfId="0" applyFont="1" applyFill="1" applyBorder="1" applyAlignment="1">
      <alignment horizontal="center" vertical="center" wrapText="1"/>
    </xf>
    <xf numFmtId="0" fontId="48" fillId="0" borderId="1" xfId="0" applyFont="1" applyBorder="1" applyAlignment="1">
      <alignment horizontal="center" vertical="center" wrapText="1"/>
    </xf>
    <xf numFmtId="0" fontId="93" fillId="10" borderId="7" xfId="0" applyFont="1" applyFill="1" applyBorder="1" applyAlignment="1">
      <alignment horizontal="center" vertical="center"/>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0" fontId="99" fillId="0" borderId="10" xfId="0" applyFont="1" applyBorder="1" applyAlignment="1">
      <alignment horizontal="center" vertical="center"/>
    </xf>
    <xf numFmtId="0" fontId="99" fillId="0" borderId="9" xfId="0" applyFont="1" applyBorder="1" applyAlignment="1">
      <alignment horizontal="center" vertical="center"/>
    </xf>
    <xf numFmtId="0" fontId="99" fillId="0" borderId="10" xfId="0" applyFont="1" applyBorder="1" applyAlignment="1">
      <alignment horizontal="left" vertical="center"/>
    </xf>
    <xf numFmtId="0" fontId="99" fillId="0" borderId="9" xfId="0" applyFont="1" applyBorder="1" applyAlignment="1">
      <alignment horizontal="left" vertical="center"/>
    </xf>
    <xf numFmtId="0" fontId="5" fillId="0" borderId="15"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5" fillId="0" borderId="15" xfId="0" applyFont="1" applyBorder="1" applyAlignment="1">
      <alignment vertical="center" wrapText="1"/>
    </xf>
    <xf numFmtId="0" fontId="5" fillId="0" borderId="9"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2" fillId="0" borderId="10" xfId="0" applyFont="1" applyBorder="1" applyAlignment="1">
      <alignment vertical="center" wrapText="1"/>
    </xf>
    <xf numFmtId="0" fontId="50" fillId="0" borderId="0" xfId="0" applyFont="1" applyAlignment="1">
      <alignment horizontal="center"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5" fillId="0" borderId="1"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30" fillId="0" borderId="10" xfId="0" applyFont="1" applyBorder="1" applyAlignment="1">
      <alignment horizontal="left" vertical="center"/>
    </xf>
    <xf numFmtId="0" fontId="30" fillId="0" borderId="9" xfId="0" applyFont="1" applyBorder="1" applyAlignment="1">
      <alignment horizontal="left" vertical="center"/>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93" fillId="8" borderId="10" xfId="0" applyFont="1" applyFill="1" applyBorder="1" applyAlignment="1">
      <alignment horizontal="center" vertical="center" wrapText="1"/>
    </xf>
    <xf numFmtId="0" fontId="93" fillId="8" borderId="15" xfId="0" applyFont="1" applyFill="1" applyBorder="1" applyAlignment="1">
      <alignment horizontal="center" vertical="center" wrapText="1"/>
    </xf>
    <xf numFmtId="0" fontId="93" fillId="8" borderId="9"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48"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102" fillId="10" borderId="0" xfId="0" applyFont="1" applyFill="1" applyAlignment="1">
      <alignment horizontal="center" vertical="center" wrapText="1"/>
    </xf>
    <xf numFmtId="0" fontId="111" fillId="0" borderId="1" xfId="0" applyFont="1" applyBorder="1" applyAlignment="1">
      <alignment horizontal="right" vertical="center" wrapText="1"/>
    </xf>
    <xf numFmtId="4" fontId="30" fillId="4" borderId="1" xfId="0" applyNumberFormat="1" applyFont="1" applyFill="1" applyBorder="1" applyAlignment="1">
      <alignment horizontal="center" vertical="center"/>
    </xf>
    <xf numFmtId="0" fontId="111" fillId="0" borderId="3" xfId="0" applyFont="1" applyBorder="1" applyAlignment="1">
      <alignment horizontal="center" vertical="center" wrapText="1"/>
    </xf>
    <xf numFmtId="0" fontId="111" fillId="0" borderId="4" xfId="0" applyFont="1" applyBorder="1" applyAlignment="1">
      <alignment horizontal="center" vertical="center" wrapText="1"/>
    </xf>
    <xf numFmtId="0" fontId="111" fillId="0" borderId="6" xfId="0" applyFont="1" applyBorder="1" applyAlignment="1">
      <alignment horizontal="center" vertical="center" wrapText="1"/>
    </xf>
    <xf numFmtId="0" fontId="111" fillId="0" borderId="7" xfId="0" applyFont="1" applyBorder="1" applyAlignment="1">
      <alignment horizontal="center" vertical="center" wrapText="1"/>
    </xf>
    <xf numFmtId="0" fontId="111" fillId="0" borderId="1" xfId="0" applyFont="1" applyBorder="1" applyAlignment="1">
      <alignment horizontal="center" vertical="center" wrapText="1"/>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111" fillId="0" borderId="10" xfId="0" applyFont="1" applyBorder="1" applyAlignment="1">
      <alignment horizontal="center" vertical="center" wrapText="1"/>
    </xf>
    <xf numFmtId="0" fontId="111" fillId="0" borderId="9" xfId="0" applyFont="1" applyBorder="1" applyAlignment="1">
      <alignment horizontal="center" vertical="center" wrapText="1"/>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4" fontId="2" fillId="4" borderId="1" xfId="0" quotePrefix="1" applyNumberFormat="1" applyFont="1" applyFill="1" applyBorder="1" applyAlignment="1">
      <alignment horizontal="center" vertical="center"/>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0" fontId="108" fillId="8" borderId="7" xfId="0" applyFont="1" applyFill="1" applyBorder="1" applyAlignment="1">
      <alignment horizontal="center" vertical="center" wrapText="1"/>
    </xf>
    <xf numFmtId="0" fontId="108" fillId="8" borderId="8" xfId="0" applyFont="1" applyFill="1" applyBorder="1" applyAlignment="1">
      <alignment horizontal="center" vertical="center" wrapText="1"/>
    </xf>
    <xf numFmtId="0" fontId="108" fillId="8" borderId="4" xfId="0" applyFont="1" applyFill="1" applyBorder="1" applyAlignment="1">
      <alignment horizontal="center" vertical="center" wrapText="1"/>
    </xf>
    <xf numFmtId="0" fontId="108" fillId="8" borderId="5" xfId="0" applyFont="1" applyFill="1" applyBorder="1" applyAlignment="1">
      <alignment horizontal="center" vertical="center" wrapText="1"/>
    </xf>
    <xf numFmtId="0" fontId="109" fillId="4" borderId="10" xfId="0" applyFont="1" applyFill="1" applyBorder="1" applyAlignment="1">
      <alignment horizontal="center"/>
    </xf>
    <xf numFmtId="0" fontId="109" fillId="4" borderId="9" xfId="0" applyFont="1" applyFill="1" applyBorder="1" applyAlignment="1">
      <alignment horizontal="center"/>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4" fontId="30" fillId="4" borderId="1" xfId="0" applyNumberFormat="1" applyFont="1" applyFill="1" applyBorder="1" applyAlignment="1">
      <alignment horizontal="center" vertical="center" wrapText="1"/>
    </xf>
    <xf numFmtId="0" fontId="107" fillId="8" borderId="15" xfId="0" applyFont="1" applyFill="1" applyBorder="1" applyAlignment="1">
      <alignment horizontal="center" vertical="center" wrapText="1"/>
    </xf>
    <xf numFmtId="0" fontId="25" fillId="0" borderId="15" xfId="0" applyFont="1" applyBorder="1" applyAlignment="1">
      <alignment horizontal="center" vertical="center" wrapText="1"/>
    </xf>
    <xf numFmtId="0" fontId="6" fillId="0" borderId="10" xfId="0" applyFont="1" applyBorder="1" applyAlignment="1">
      <alignment horizontal="left" vertical="center" wrapText="1"/>
    </xf>
    <xf numFmtId="0" fontId="106" fillId="8" borderId="8" xfId="0" applyFont="1" applyFill="1" applyBorder="1" applyAlignment="1">
      <alignment horizontal="center" vertical="center" wrapText="1"/>
    </xf>
    <xf numFmtId="0" fontId="106" fillId="8" borderId="13" xfId="0" applyFont="1" applyFill="1" applyBorder="1" applyAlignment="1">
      <alignment horizontal="center" vertical="center" wrapText="1"/>
    </xf>
    <xf numFmtId="0" fontId="15" fillId="0" borderId="4" xfId="2" applyFont="1" applyBorder="1" applyAlignment="1">
      <alignment horizontal="right"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52" fillId="14" borderId="15" xfId="2" applyFont="1" applyFill="1" applyBorder="1" applyAlignment="1">
      <alignment horizontal="center" vertical="center" wrapText="1"/>
    </xf>
    <xf numFmtId="0" fontId="52" fillId="14" borderId="9" xfId="2" applyFont="1" applyFill="1" applyBorder="1" applyAlignment="1">
      <alignment horizontal="center" vertical="center" wrapText="1"/>
    </xf>
    <xf numFmtId="0" fontId="52" fillId="14" borderId="7" xfId="2" applyFont="1" applyFill="1" applyBorder="1" applyAlignment="1">
      <alignment horizontal="center" vertical="center" wrapText="1"/>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0" fontId="16" fillId="2" borderId="1" xfId="2" applyFont="1" applyFill="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105" fillId="14" borderId="7" xfId="2" applyFont="1" applyFill="1" applyBorder="1" applyAlignment="1">
      <alignment horizontal="center" vertical="center" wrapText="1"/>
    </xf>
    <xf numFmtId="0" fontId="105" fillId="14" borderId="8" xfId="2" applyFont="1" applyFill="1" applyBorder="1" applyAlignment="1">
      <alignment horizontal="center" vertical="center" wrapText="1"/>
    </xf>
    <xf numFmtId="0" fontId="105" fillId="14" borderId="11" xfId="2" applyFont="1" applyFill="1" applyBorder="1" applyAlignment="1">
      <alignment horizontal="center" vertical="center" wrapText="1"/>
    </xf>
    <xf numFmtId="0" fontId="105" fillId="14" borderId="0" xfId="2" applyFont="1" applyFill="1" applyAlignment="1">
      <alignment horizontal="center" vertical="center" wrapText="1"/>
    </xf>
    <xf numFmtId="0" fontId="105" fillId="14"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43" fontId="32" fillId="0" borderId="0" xfId="1" applyFont="1" applyBorder="1" applyAlignment="1">
      <alignment horizontal="center" vertical="center" wrapText="1"/>
    </xf>
    <xf numFmtId="0" fontId="32" fillId="0" borderId="14" xfId="0" quotePrefix="1" applyFont="1" applyBorder="1" applyAlignment="1">
      <alignment horizontal="center" vertical="center" wrapText="1"/>
    </xf>
    <xf numFmtId="43" fontId="32" fillId="0" borderId="11" xfId="1" applyFont="1" applyBorder="1" applyAlignment="1">
      <alignment horizontal="center" vertical="center" wrapText="1"/>
    </xf>
    <xf numFmtId="43" fontId="32" fillId="0" borderId="6" xfId="1" applyFont="1" applyBorder="1" applyAlignment="1">
      <alignment horizontal="center" vertical="center" wrapText="1"/>
    </xf>
    <xf numFmtId="43" fontId="32" fillId="0" borderId="7" xfId="1" applyFont="1" applyBorder="1" applyAlignment="1">
      <alignment horizontal="center" vertical="center" wrapText="1"/>
    </xf>
    <xf numFmtId="0" fontId="88" fillId="10" borderId="1" xfId="0" applyFont="1" applyFill="1" applyBorder="1" applyAlignment="1">
      <alignment horizontal="center" vertical="center" wrapText="1"/>
    </xf>
    <xf numFmtId="0" fontId="88" fillId="10" borderId="10" xfId="0" applyFont="1" applyFill="1" applyBorder="1" applyAlignment="1">
      <alignment horizontal="center" vertical="center" wrapText="1"/>
    </xf>
    <xf numFmtId="0" fontId="88" fillId="10" borderId="0" xfId="0" applyFont="1" applyFill="1" applyAlignment="1" applyProtection="1">
      <alignment horizontal="center" vertical="center" wrapText="1"/>
      <protection locked="0"/>
    </xf>
    <xf numFmtId="0" fontId="93" fillId="11" borderId="7" xfId="0" applyFont="1" applyFill="1" applyBorder="1" applyAlignment="1" applyProtection="1">
      <alignment horizontal="center" vertical="center" wrapText="1"/>
      <protection locked="0"/>
    </xf>
    <xf numFmtId="0" fontId="93" fillId="11" borderId="11" xfId="0" applyFont="1" applyFill="1" applyBorder="1" applyAlignment="1">
      <alignment horizontal="center"/>
    </xf>
    <xf numFmtId="0" fontId="93" fillId="11" borderId="0" xfId="0" applyFont="1" applyFill="1" applyAlignment="1">
      <alignment horizontal="center"/>
    </xf>
    <xf numFmtId="0" fontId="32" fillId="0" borderId="1" xfId="0" applyFont="1" applyBorder="1" applyAlignment="1">
      <alignment horizontal="left"/>
    </xf>
    <xf numFmtId="43" fontId="32" fillId="0" borderId="14" xfId="0" applyNumberFormat="1" applyFont="1" applyBorder="1" applyAlignment="1">
      <alignment horizontal="center" vertical="center" wrapText="1"/>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97" fillId="8" borderId="7" xfId="0" applyFont="1" applyFill="1" applyBorder="1" applyAlignment="1">
      <alignment horizontal="center" vertical="center"/>
    </xf>
    <xf numFmtId="0" fontId="33" fillId="0" borderId="1" xfId="0" applyFont="1" applyBorder="1" applyAlignment="1">
      <alignment horizont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0" fontId="81" fillId="9" borderId="1" xfId="0" applyFont="1" applyFill="1" applyBorder="1" applyAlignment="1">
      <alignment horizontal="center" vertical="center" wrapText="1"/>
    </xf>
    <xf numFmtId="0" fontId="8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0" fillId="0" borderId="1" xfId="0" applyBorder="1" applyAlignment="1">
      <alignment horizontal="center" vertical="center" wrapText="1"/>
    </xf>
    <xf numFmtId="2" fontId="71" fillId="0" borderId="10" xfId="4" applyNumberFormat="1" applyFont="1" applyBorder="1" applyAlignment="1">
      <alignment horizontal="center" vertical="center" wrapText="1"/>
    </xf>
    <xf numFmtId="2" fontId="71" fillId="0" borderId="9" xfId="4" applyNumberFormat="1" applyFont="1" applyBorder="1" applyAlignment="1">
      <alignment horizontal="center" vertical="center" wrapText="1"/>
    </xf>
    <xf numFmtId="0" fontId="69" fillId="2" borderId="10" xfId="0" applyFont="1" applyFill="1" applyBorder="1" applyAlignment="1">
      <alignment horizontal="center" vertical="center" wrapText="1"/>
    </xf>
    <xf numFmtId="0" fontId="69" fillId="2" borderId="15" xfId="0" applyFont="1" applyFill="1" applyBorder="1" applyAlignment="1">
      <alignment horizontal="center" vertical="center" wrapText="1"/>
    </xf>
    <xf numFmtId="0" fontId="69"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2" fillId="11" borderId="0" xfId="4" applyFont="1" applyFill="1" applyAlignment="1">
      <alignment horizontal="center" vertical="center" wrapText="1"/>
    </xf>
    <xf numFmtId="0" fontId="94" fillId="9" borderId="1"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87" fillId="2" borderId="0" xfId="4" applyFont="1" applyFill="1" applyAlignment="1">
      <alignment horizontal="center" vertical="center" wrapText="1"/>
    </xf>
    <xf numFmtId="2" fontId="33" fillId="0" borderId="1" xfId="4" applyNumberFormat="1" applyFont="1" applyBorder="1" applyAlignment="1">
      <alignment horizontal="center" vertical="center" wrapText="1"/>
    </xf>
    <xf numFmtId="0" fontId="11" fillId="0" borderId="1" xfId="0" applyFont="1" applyBorder="1" applyAlignment="1">
      <alignment horizontal="center" vertical="center" wrapText="1"/>
    </xf>
    <xf numFmtId="0" fontId="88" fillId="8" borderId="1" xfId="0" applyFont="1" applyFill="1" applyBorder="1" applyAlignment="1">
      <alignment horizontal="center" vertical="center" wrapText="1"/>
    </xf>
    <xf numFmtId="0" fontId="96" fillId="10" borderId="0" xfId="4" applyFont="1" applyFill="1" applyAlignment="1">
      <alignment horizontal="center" vertical="center" wrapText="1"/>
    </xf>
    <xf numFmtId="2" fontId="83" fillId="0" borderId="10" xfId="4" applyNumberFormat="1" applyFont="1" applyBorder="1" applyAlignment="1">
      <alignment horizontal="center" vertical="center" wrapText="1"/>
    </xf>
    <xf numFmtId="2" fontId="83" fillId="0" borderId="9" xfId="4" applyNumberFormat="1" applyFont="1" applyBorder="1" applyAlignment="1">
      <alignment horizontal="center" vertical="center" wrapText="1"/>
    </xf>
    <xf numFmtId="0" fontId="11" fillId="0" borderId="1" xfId="4" applyFont="1" applyBorder="1" applyAlignment="1">
      <alignment horizontal="center" vertical="center" wrapText="1"/>
    </xf>
    <xf numFmtId="43" fontId="32" fillId="2" borderId="1" xfId="1" applyFont="1" applyFill="1" applyBorder="1" applyAlignment="1">
      <alignment vertical="center" wrapText="1"/>
    </xf>
    <xf numFmtId="0" fontId="32" fillId="0" borderId="1" xfId="0" applyFont="1" applyBorder="1" applyAlignment="1">
      <alignment horizontal="center" vertical="center"/>
    </xf>
    <xf numFmtId="0" fontId="48" fillId="0" borderId="2" xfId="0" applyFont="1" applyBorder="1" applyAlignment="1">
      <alignment horizontal="left" vertical="center" wrapText="1"/>
    </xf>
    <xf numFmtId="0" fontId="48" fillId="0" borderId="13" xfId="0" applyFont="1" applyBorder="1" applyAlignment="1">
      <alignment horizontal="left" vertical="center" wrapText="1"/>
    </xf>
    <xf numFmtId="0" fontId="32" fillId="0" borderId="5" xfId="0" applyFont="1" applyBorder="1" applyAlignment="1">
      <alignment horizontal="center" vertical="center" wrapText="1"/>
    </xf>
    <xf numFmtId="0" fontId="32" fillId="0" borderId="8" xfId="0" applyFont="1" applyBorder="1" applyAlignment="1">
      <alignment horizontal="center" vertical="center" wrapText="1"/>
    </xf>
    <xf numFmtId="43" fontId="32" fillId="0" borderId="1" xfId="1" applyFont="1" applyFill="1" applyBorder="1" applyAlignment="1">
      <alignment vertical="center" wrapText="1"/>
    </xf>
    <xf numFmtId="43" fontId="32" fillId="0" borderId="1" xfId="1" applyFont="1" applyBorder="1" applyAlignment="1">
      <alignment vertical="center" wrapText="1"/>
    </xf>
    <xf numFmtId="43" fontId="32" fillId="0" borderId="0" xfId="1" applyFont="1" applyBorder="1" applyAlignment="1">
      <alignment vertical="center" wrapText="1"/>
    </xf>
    <xf numFmtId="0" fontId="32" fillId="2" borderId="2" xfId="0" applyFont="1" applyFill="1" applyBorder="1" applyAlignment="1">
      <alignment horizontal="center" vertical="center" wrapText="1"/>
    </xf>
    <xf numFmtId="0" fontId="32" fillId="2" borderId="13" xfId="0" applyFont="1" applyFill="1" applyBorder="1" applyAlignment="1">
      <alignment horizontal="center" vertical="center" wrapText="1"/>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tyles" Target="styles.xm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6" name="Connecteur droit avec flèche 5">
          <a:extLst>
            <a:ext uri="{FF2B5EF4-FFF2-40B4-BE49-F238E27FC236}">
              <a16:creationId xmlns:a16="http://schemas.microsoft.com/office/drawing/2014/main" id="{A791DE48-6C41-477C-9A3C-EA95337692A1}"/>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7" name="Connecteur droit avec flèche 6">
          <a:extLst>
            <a:ext uri="{FF2B5EF4-FFF2-40B4-BE49-F238E27FC236}">
              <a16:creationId xmlns:a16="http://schemas.microsoft.com/office/drawing/2014/main" id="{43AFB44E-FA7A-4C6A-8A1C-7923618061C9}"/>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8" name="Connecteur droit avec flèche 7">
          <a:extLst>
            <a:ext uri="{FF2B5EF4-FFF2-40B4-BE49-F238E27FC236}">
              <a16:creationId xmlns:a16="http://schemas.microsoft.com/office/drawing/2014/main" id="{38E73D31-BE1E-4183-A1FF-C8F7E2F86AE7}"/>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9" name="Connecteur droit avec flèche 8">
          <a:extLst>
            <a:ext uri="{FF2B5EF4-FFF2-40B4-BE49-F238E27FC236}">
              <a16:creationId xmlns:a16="http://schemas.microsoft.com/office/drawing/2014/main" id="{280A0E15-0C64-44C0-932C-45F03187C47C}"/>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0" name="Connecteur droit avec flèche 9">
          <a:extLst>
            <a:ext uri="{FF2B5EF4-FFF2-40B4-BE49-F238E27FC236}">
              <a16:creationId xmlns:a16="http://schemas.microsoft.com/office/drawing/2014/main" id="{7A076884-6A82-47CC-9D73-37F43FA77CFD}"/>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1" name="Connecteur droit avec flèche 10">
          <a:extLst>
            <a:ext uri="{FF2B5EF4-FFF2-40B4-BE49-F238E27FC236}">
              <a16:creationId xmlns:a16="http://schemas.microsoft.com/office/drawing/2014/main" id="{2358518D-B706-4A75-BB0A-82F951CE1BCB}"/>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2" name="Connecteur droit avec flèche 11">
          <a:extLst>
            <a:ext uri="{FF2B5EF4-FFF2-40B4-BE49-F238E27FC236}">
              <a16:creationId xmlns:a16="http://schemas.microsoft.com/office/drawing/2014/main" id="{8D5E464F-F028-4282-B510-84A8B78CA9B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3" name="Connecteur droit avec flèche 12">
          <a:extLst>
            <a:ext uri="{FF2B5EF4-FFF2-40B4-BE49-F238E27FC236}">
              <a16:creationId xmlns:a16="http://schemas.microsoft.com/office/drawing/2014/main" id="{3408CBF6-A36B-4A46-BDBE-FD3B2B782818}"/>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14" name="Connecteur droit avec flèche 13">
          <a:extLst>
            <a:ext uri="{FF2B5EF4-FFF2-40B4-BE49-F238E27FC236}">
              <a16:creationId xmlns:a16="http://schemas.microsoft.com/office/drawing/2014/main" id="{7AA1115C-8063-44F0-8EC8-C56270292A30}"/>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15" name="Connecteur droit avec flèche 14">
          <a:extLst>
            <a:ext uri="{FF2B5EF4-FFF2-40B4-BE49-F238E27FC236}">
              <a16:creationId xmlns:a16="http://schemas.microsoft.com/office/drawing/2014/main" id="{4BE5B0D7-8C76-444C-AA1A-E4FCE4E05F99}"/>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https://d.docs.live.net/fa77d33fea66a78b/Desktop/1%20PAIE%202025/LIVRE%202025/CHAPITRE%202/TRAVAIL%20CHAPITRE%202%20DEF%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4%20%20HEURES%20SUPPLEMENTAIIRES%20C%20HSUPP%20ABSENCE%20CORRECTION.xlsx" TargetMode="External"/><Relationship Id="rId1" Type="http://schemas.openxmlformats.org/officeDocument/2006/relationships/externalLinkPath" Target="https://d.docs.live.net/fa77d33fea66a78b/Desktop/1%20PAIE%202025/CHAPITRES%2012/2025/EXERCICE%204%20%20HEURES%20SUPPLEMENTAIIRES%20C%20HSUPP%20ABSENCE%20CORRECTION.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2025/EXERCICE%204%20%20%20HEURES%20SUPPL%20C%20%20%20%20C%20%202025.xlsx" TargetMode="External"/><Relationship Id="rId1" Type="http://schemas.openxmlformats.org/officeDocument/2006/relationships/externalLinkPath" Target="https://d.docs.live.net/fa77d33fea66a78b/Desktop/1%20PAIE%202025/CHAPITRES%2012/2025/EXERCICE%204%20%20%20HEURES%20SUPPL%20C%20%20%20%20C%20%202025.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Users/Bienvenue/Desktop/EXCEL%20POUR%20LA%20PAIE/MAQUETTE/TRAMES%20A%20REALISER.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xlsx" TargetMode="External"/><Relationship Id="rId1" Type="http://schemas.openxmlformats.org/officeDocument/2006/relationships/externalLinkPath" Target="https://d.docs.live.net/fa77d33fea66a78b/Desktop/1%20PAIE%202025/CHAPITRES%2012/EXPLICATIONS%20FEUILLES%20HEURES%20SUPPLEMENTAIRES%20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refreshError="1"/>
      <sheetData sheetId="1" refreshError="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v>1.12E-2</v>
          </cell>
          <cell r="D5">
            <v>1.6799999999999999E-2</v>
          </cell>
        </row>
        <row r="6">
          <cell r="A6" t="str">
            <v>Assurance décés des cadres  (TA)</v>
          </cell>
          <cell r="B6"/>
          <cell r="C6"/>
          <cell r="D6">
            <v>1.4999999999999999E-2</v>
          </cell>
        </row>
        <row r="7">
          <cell r="A7" t="str">
            <v xml:space="preserve">Mutuelle Non Cadres </v>
          </cell>
          <cell r="B7"/>
          <cell r="C7">
            <v>0.01</v>
          </cell>
          <cell r="D7">
            <v>1.7999999999999999E-2</v>
          </cell>
        </row>
      </sheetData>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FEUILLE HEURES SUPPL. 1 "/>
      <sheetName val="FEUILLE HEURES SUPPL. 2"/>
      <sheetName val="ENONCE CORRIGE"/>
      <sheetName val="MASQUE DE SAISIE "/>
      <sheetName val="BP VERSION JANVIER 2023"/>
      <sheetName val="BP FORMAT JUILLET 2023"/>
      <sheetName val="FEUILLE DE CONTROLE "/>
      <sheetName val="ESSENTIEL A CONNAITRE "/>
      <sheetName val="HEURES SUPPLEMENTAIRES "/>
      <sheetName val="RED. GEN. de COT. Janv"/>
      <sheetName val="RED GEN DE COT MOIS ISOLE"/>
      <sheetName val="TAUX NEUTRE "/>
      <sheetName val="TRAME VIERGE BP JANVIER 2023"/>
      <sheetName val="TRAME VIERGE JUILLET 2023 "/>
    </sheetNames>
    <sheetDataSet>
      <sheetData sheetId="0">
        <row r="17">
          <cell r="D17">
            <v>6.9000000000000006E-2</v>
          </cell>
        </row>
        <row r="84">
          <cell r="E84">
            <v>3.2000000000000001E-2</v>
          </cell>
        </row>
      </sheetData>
      <sheetData sheetId="1" refreshError="1"/>
      <sheetData sheetId="2" refreshError="1"/>
      <sheetData sheetId="3" refreshError="1"/>
      <sheetData sheetId="4">
        <row r="57">
          <cell r="E57">
            <v>15.360681818181817</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CORRECTION "/>
      <sheetName val="MASQUE DE SAISIE "/>
      <sheetName val="BP VERSION JANVIER 2023"/>
      <sheetName val="BP FORMAT JUILLET 2023"/>
      <sheetName val="FEUILLE DE CONTRÔLE "/>
      <sheetName val="HEURES SUPPLEMENTAIRES "/>
      <sheetName val="TABLE DES TAUX 2025 "/>
      <sheetName val="RED. GEN. de COT. Janv"/>
      <sheetName val="RED GEN DE COT MOIS ISOLE"/>
      <sheetName val="TAUX NEUTRE "/>
      <sheetName val="TRAME VIERGE BP JANVIER 2023"/>
      <sheetName val="TRAME VIERGE JUILLET 2023 "/>
    </sheetNames>
    <sheetDataSet>
      <sheetData sheetId="0">
        <row r="39">
          <cell r="F39">
            <v>3109.21</v>
          </cell>
        </row>
      </sheetData>
      <sheetData sheetId="1">
        <row r="44">
          <cell r="E44">
            <v>3925</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efreshError="1">
        <row r="22">
          <cell r="D22">
            <v>1.6199999999999999E-2</v>
          </cell>
        </row>
        <row r="23">
          <cell r="D23">
            <v>2.0999999999999999E-3</v>
          </cell>
        </row>
        <row r="24">
          <cell r="D24">
            <v>2.0999999999999999E-3</v>
          </cell>
        </row>
        <row r="25">
          <cell r="D25"/>
        </row>
        <row r="26">
          <cell r="D26">
            <v>1E-3</v>
          </cell>
        </row>
        <row r="27">
          <cell r="D27">
            <v>5.0000000000000001E-3</v>
          </cell>
        </row>
        <row r="28">
          <cell r="D28">
            <v>3.2000000000000001E-2</v>
          </cell>
        </row>
        <row r="29">
          <cell r="D29">
            <v>3.0000000000000001E-3</v>
          </cell>
        </row>
        <row r="30">
          <cell r="D30">
            <v>0.08</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8.bin"/><Relationship Id="rId4" Type="http://schemas.openxmlformats.org/officeDocument/2006/relationships/comments" Target="../comments13.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A237" zoomScale="140" zoomScaleNormal="140" workbookViewId="0">
      <selection activeCell="G202" sqref="G202"/>
    </sheetView>
  </sheetViews>
  <sheetFormatPr baseColWidth="10" defaultRowHeight="15" x14ac:dyDescent="0.25"/>
  <cols>
    <col min="14" max="14" width="23.5703125" customWidth="1"/>
    <col min="15" max="15" width="12.7109375" customWidth="1"/>
  </cols>
  <sheetData>
    <row r="1" spans="2:16" x14ac:dyDescent="0.25">
      <c r="J1" s="780" t="s">
        <v>520</v>
      </c>
      <c r="K1" s="780"/>
      <c r="L1" s="780"/>
      <c r="M1" s="780"/>
      <c r="N1" s="780"/>
      <c r="O1" s="780"/>
      <c r="P1" s="780"/>
    </row>
    <row r="3" spans="2:16" x14ac:dyDescent="0.25">
      <c r="J3" s="56" t="s">
        <v>521</v>
      </c>
      <c r="M3" s="56"/>
      <c r="N3" s="56"/>
      <c r="O3" s="56"/>
    </row>
    <row r="4" spans="2:16" x14ac:dyDescent="0.25">
      <c r="L4" s="56" t="s">
        <v>522</v>
      </c>
      <c r="M4" s="56"/>
      <c r="N4" s="56"/>
      <c r="O4" s="56"/>
    </row>
    <row r="5" spans="2:16" x14ac:dyDescent="0.25">
      <c r="L5" s="56" t="s">
        <v>523</v>
      </c>
      <c r="M5" s="56"/>
      <c r="N5" s="56"/>
      <c r="O5" s="56"/>
    </row>
    <row r="6" spans="2:16" x14ac:dyDescent="0.25">
      <c r="L6" s="56"/>
      <c r="M6" s="56"/>
      <c r="N6" s="56"/>
      <c r="O6" s="56"/>
    </row>
    <row r="7" spans="2:16" ht="18.75" x14ac:dyDescent="0.25">
      <c r="B7" s="781" t="s">
        <v>524</v>
      </c>
      <c r="C7" s="782"/>
      <c r="D7" s="512"/>
      <c r="E7" s="512"/>
      <c r="I7" s="787" t="s">
        <v>525</v>
      </c>
      <c r="J7" s="788"/>
      <c r="L7" s="56" t="s">
        <v>526</v>
      </c>
      <c r="M7" s="56"/>
      <c r="N7" s="56"/>
      <c r="O7" s="56"/>
    </row>
    <row r="8" spans="2:16" ht="18.75" x14ac:dyDescent="0.25">
      <c r="B8" s="783"/>
      <c r="C8" s="784"/>
      <c r="D8" s="512"/>
      <c r="E8" s="512"/>
      <c r="I8" s="789"/>
      <c r="J8" s="790"/>
      <c r="L8" s="56"/>
      <c r="M8" s="56"/>
      <c r="N8" s="56"/>
      <c r="O8" s="56"/>
    </row>
    <row r="9" spans="2:16" ht="18.75" x14ac:dyDescent="0.25">
      <c r="B9" s="783"/>
      <c r="C9" s="784"/>
      <c r="D9" s="512"/>
      <c r="E9" s="512"/>
      <c r="I9" s="789"/>
      <c r="J9" s="790"/>
      <c r="L9" s="56" t="s">
        <v>527</v>
      </c>
      <c r="M9" s="56"/>
      <c r="N9" s="56"/>
      <c r="O9" s="56"/>
    </row>
    <row r="10" spans="2:16" ht="18.75" x14ac:dyDescent="0.25">
      <c r="B10" s="783"/>
      <c r="C10" s="784"/>
      <c r="D10" s="512"/>
      <c r="E10" s="512"/>
      <c r="I10" s="789"/>
      <c r="J10" s="790"/>
      <c r="L10" s="56"/>
      <c r="M10" s="56"/>
      <c r="N10" s="56"/>
      <c r="O10" s="56"/>
    </row>
    <row r="11" spans="2:16" ht="18.75" x14ac:dyDescent="0.25">
      <c r="B11" s="783"/>
      <c r="C11" s="784"/>
      <c r="D11" s="512"/>
      <c r="E11" s="512"/>
      <c r="I11" s="789"/>
      <c r="J11" s="790"/>
      <c r="L11" s="499" t="s">
        <v>528</v>
      </c>
      <c r="M11" s="56"/>
      <c r="N11" s="56"/>
      <c r="O11" s="56"/>
    </row>
    <row r="12" spans="2:16" ht="18.75" x14ac:dyDescent="0.25">
      <c r="B12" s="783"/>
      <c r="C12" s="784"/>
      <c r="D12" s="512"/>
      <c r="E12" s="512"/>
      <c r="I12" s="789"/>
      <c r="J12" s="790"/>
      <c r="L12" s="56"/>
      <c r="M12" s="56"/>
      <c r="N12" s="56"/>
      <c r="O12" s="56"/>
    </row>
    <row r="13" spans="2:16" ht="18.75" x14ac:dyDescent="0.25">
      <c r="B13" s="783"/>
      <c r="C13" s="784"/>
      <c r="D13" s="512"/>
      <c r="E13" s="512"/>
      <c r="I13" s="789"/>
      <c r="J13" s="790"/>
      <c r="L13" s="56" t="s">
        <v>529</v>
      </c>
      <c r="M13" s="56"/>
      <c r="N13" s="56"/>
      <c r="O13" s="56"/>
    </row>
    <row r="14" spans="2:16" ht="18.75" x14ac:dyDescent="0.25">
      <c r="B14" s="783"/>
      <c r="C14" s="784"/>
      <c r="D14" s="512"/>
      <c r="E14" s="512"/>
      <c r="I14" s="789"/>
      <c r="J14" s="790"/>
      <c r="L14" s="56"/>
      <c r="M14" s="56"/>
      <c r="N14" s="56"/>
      <c r="O14" s="56"/>
    </row>
    <row r="15" spans="2:16" ht="18.75" x14ac:dyDescent="0.25">
      <c r="B15" s="785"/>
      <c r="C15" s="786"/>
      <c r="D15" s="512"/>
      <c r="E15" s="512"/>
      <c r="I15" s="791"/>
      <c r="J15" s="792"/>
      <c r="L15" s="56" t="s">
        <v>530</v>
      </c>
      <c r="M15" s="56"/>
      <c r="N15" s="56"/>
      <c r="O15" s="56"/>
    </row>
    <row r="16" spans="2:16" x14ac:dyDescent="0.25">
      <c r="L16" s="56"/>
      <c r="M16" s="56"/>
      <c r="N16" s="56"/>
      <c r="O16" s="56"/>
    </row>
    <row r="17" spans="1:15" x14ac:dyDescent="0.25">
      <c r="L17" s="56" t="s">
        <v>13</v>
      </c>
      <c r="M17" s="56"/>
      <c r="N17" s="56"/>
      <c r="O17" s="56"/>
    </row>
    <row r="18" spans="1:15" x14ac:dyDescent="0.25">
      <c r="L18" s="56"/>
      <c r="M18" s="56"/>
      <c r="N18" s="56"/>
      <c r="O18" s="56"/>
    </row>
    <row r="19" spans="1:15" x14ac:dyDescent="0.25">
      <c r="L19" s="56" t="s">
        <v>531</v>
      </c>
      <c r="M19" s="56"/>
      <c r="N19" s="56"/>
      <c r="O19" s="56"/>
    </row>
    <row r="20" spans="1:15" x14ac:dyDescent="0.25">
      <c r="L20" s="56"/>
      <c r="M20" s="56"/>
      <c r="N20" s="56"/>
      <c r="O20" s="56"/>
    </row>
    <row r="21" spans="1:15" x14ac:dyDescent="0.25">
      <c r="L21" s="56" t="s">
        <v>336</v>
      </c>
      <c r="M21" s="56"/>
      <c r="N21" s="56"/>
      <c r="O21" s="56"/>
    </row>
    <row r="22" spans="1:15" x14ac:dyDescent="0.25">
      <c r="L22" s="56"/>
      <c r="M22" s="56"/>
      <c r="N22" s="56"/>
      <c r="O22" s="56"/>
    </row>
    <row r="23" spans="1:15" x14ac:dyDescent="0.25">
      <c r="A23" t="s">
        <v>532</v>
      </c>
      <c r="L23" s="56" t="s">
        <v>533</v>
      </c>
      <c r="M23" s="56"/>
      <c r="N23" s="56"/>
      <c r="O23" s="56"/>
    </row>
    <row r="24" spans="1:15" x14ac:dyDescent="0.25">
      <c r="A24" t="s">
        <v>534</v>
      </c>
    </row>
    <row r="25" spans="1:15" x14ac:dyDescent="0.25">
      <c r="A25" t="s">
        <v>535</v>
      </c>
    </row>
    <row r="26" spans="1:15" x14ac:dyDescent="0.25">
      <c r="A26" t="s">
        <v>536</v>
      </c>
      <c r="E26" s="773" t="s">
        <v>537</v>
      </c>
      <c r="F26" s="773"/>
      <c r="H26" s="773" t="s">
        <v>538</v>
      </c>
      <c r="I26" s="773"/>
      <c r="K26" s="773" t="s">
        <v>539</v>
      </c>
      <c r="L26" s="773"/>
    </row>
    <row r="27" spans="1:15" x14ac:dyDescent="0.25">
      <c r="A27" t="s">
        <v>540</v>
      </c>
    </row>
    <row r="28" spans="1:15" x14ac:dyDescent="0.25">
      <c r="B28" s="773"/>
      <c r="C28" s="773"/>
      <c r="E28" s="774" t="s">
        <v>541</v>
      </c>
      <c r="F28" s="775"/>
      <c r="H28" s="774" t="s">
        <v>542</v>
      </c>
      <c r="I28" s="775"/>
      <c r="K28" s="774" t="s">
        <v>542</v>
      </c>
      <c r="L28" s="775"/>
    </row>
    <row r="29" spans="1:15" x14ac:dyDescent="0.25">
      <c r="B29" s="773"/>
      <c r="C29" s="773"/>
      <c r="E29" s="776"/>
      <c r="F29" s="777"/>
      <c r="H29" s="776"/>
      <c r="I29" s="777"/>
      <c r="K29" s="776"/>
      <c r="L29" s="777"/>
    </row>
    <row r="30" spans="1:15" x14ac:dyDescent="0.25">
      <c r="B30" s="773"/>
      <c r="C30" s="773"/>
      <c r="E30" s="776"/>
      <c r="F30" s="777"/>
      <c r="H30" s="776"/>
      <c r="I30" s="777"/>
      <c r="K30" s="776"/>
      <c r="L30" s="777"/>
    </row>
    <row r="31" spans="1:15" x14ac:dyDescent="0.25">
      <c r="B31" s="773"/>
      <c r="C31" s="773"/>
      <c r="E31" s="776"/>
      <c r="F31" s="777"/>
      <c r="H31" s="776"/>
      <c r="I31" s="777"/>
      <c r="K31" s="776"/>
      <c r="L31" s="777"/>
    </row>
    <row r="32" spans="1:15" x14ac:dyDescent="0.25">
      <c r="B32" s="773"/>
      <c r="C32" s="773"/>
      <c r="E32" s="776"/>
      <c r="F32" s="777"/>
      <c r="H32" s="776"/>
      <c r="I32" s="777"/>
      <c r="K32" s="776"/>
      <c r="L32" s="777"/>
    </row>
    <row r="33" spans="2:12" x14ac:dyDescent="0.25">
      <c r="B33" s="773"/>
      <c r="C33" s="773"/>
      <c r="E33" s="776"/>
      <c r="F33" s="777"/>
      <c r="H33" s="776"/>
      <c r="I33" s="777"/>
      <c r="K33" s="776"/>
      <c r="L33" s="777"/>
    </row>
    <row r="34" spans="2:12" x14ac:dyDescent="0.25">
      <c r="B34" s="773"/>
      <c r="C34" s="773"/>
      <c r="E34" s="776"/>
      <c r="F34" s="777"/>
      <c r="H34" s="776"/>
      <c r="I34" s="777"/>
      <c r="K34" s="776"/>
      <c r="L34" s="777"/>
    </row>
    <row r="35" spans="2:12" x14ac:dyDescent="0.25">
      <c r="B35" s="773"/>
      <c r="C35" s="773"/>
      <c r="E35" s="776"/>
      <c r="F35" s="777"/>
      <c r="H35" s="776"/>
      <c r="I35" s="777"/>
      <c r="K35" s="776"/>
      <c r="L35" s="777"/>
    </row>
    <row r="36" spans="2:12" x14ac:dyDescent="0.25">
      <c r="B36" s="773"/>
      <c r="C36" s="773"/>
      <c r="E36" s="778"/>
      <c r="F36" s="779"/>
      <c r="H36" s="778"/>
      <c r="I36" s="779"/>
      <c r="K36" s="778"/>
      <c r="L36" s="779"/>
    </row>
    <row r="38" spans="2:12" x14ac:dyDescent="0.25">
      <c r="J38" t="s">
        <v>671</v>
      </c>
    </row>
    <row r="39" spans="2:12" ht="15.75" x14ac:dyDescent="0.25">
      <c r="B39" s="181" t="s">
        <v>543</v>
      </c>
      <c r="C39" s="181"/>
      <c r="D39" s="181"/>
      <c r="E39" s="181"/>
      <c r="F39" s="56"/>
      <c r="G39" s="56"/>
      <c r="J39" t="s">
        <v>672</v>
      </c>
    </row>
    <row r="40" spans="2:12" ht="15.75" x14ac:dyDescent="0.25">
      <c r="B40" s="181"/>
      <c r="C40" s="181"/>
      <c r="D40" s="181"/>
      <c r="E40" s="181"/>
      <c r="F40" s="56"/>
      <c r="G40" s="56"/>
      <c r="J40" t="s">
        <v>673</v>
      </c>
    </row>
    <row r="41" spans="2:12" ht="15.75" x14ac:dyDescent="0.25">
      <c r="B41" s="181"/>
      <c r="C41" s="181" t="s">
        <v>544</v>
      </c>
      <c r="D41" s="181"/>
      <c r="E41" s="181"/>
      <c r="F41" s="56"/>
      <c r="G41" s="56"/>
    </row>
    <row r="42" spans="2:12" ht="15.75" x14ac:dyDescent="0.25">
      <c r="B42" s="181"/>
      <c r="C42" s="181"/>
      <c r="D42" s="181"/>
      <c r="E42" s="181"/>
      <c r="F42" s="56"/>
      <c r="G42" s="56"/>
    </row>
    <row r="43" spans="2:12" ht="15.75" x14ac:dyDescent="0.25">
      <c r="B43" s="181"/>
      <c r="C43" s="181"/>
      <c r="D43" s="181" t="s">
        <v>545</v>
      </c>
      <c r="E43" s="181"/>
      <c r="F43" s="56"/>
      <c r="G43" s="56"/>
    </row>
    <row r="44" spans="2:12" ht="15.75" x14ac:dyDescent="0.25">
      <c r="B44" s="181"/>
      <c r="C44" s="181"/>
      <c r="D44" s="181" t="s">
        <v>546</v>
      </c>
      <c r="E44" s="181"/>
      <c r="F44" s="56"/>
      <c r="G44" s="56"/>
    </row>
    <row r="45" spans="2:12" ht="15.75" x14ac:dyDescent="0.25">
      <c r="B45" s="181"/>
      <c r="C45" s="27"/>
      <c r="D45" s="181"/>
      <c r="E45" s="181"/>
      <c r="F45" s="56"/>
      <c r="G45" s="56"/>
    </row>
    <row r="46" spans="2:12" ht="15.75" x14ac:dyDescent="0.25">
      <c r="B46" s="27"/>
      <c r="C46" s="27"/>
      <c r="D46" s="27"/>
      <c r="E46" s="181" t="s">
        <v>547</v>
      </c>
    </row>
    <row r="48" spans="2:12" ht="15.75" x14ac:dyDescent="0.25">
      <c r="C48" s="181" t="s">
        <v>548</v>
      </c>
      <c r="D48" s="181"/>
      <c r="E48" s="27"/>
    </row>
    <row r="49" spans="3:9" ht="15.75" x14ac:dyDescent="0.25">
      <c r="C49" s="181"/>
      <c r="D49" s="181" t="s">
        <v>549</v>
      </c>
      <c r="E49" s="27"/>
    </row>
    <row r="50" spans="3:9" ht="15.75" x14ac:dyDescent="0.25">
      <c r="C50" s="181"/>
      <c r="D50" s="181" t="s">
        <v>550</v>
      </c>
      <c r="E50" s="27"/>
    </row>
    <row r="51" spans="3:9" ht="15.75" x14ac:dyDescent="0.25">
      <c r="C51" s="181"/>
      <c r="D51" s="181" t="s">
        <v>551</v>
      </c>
      <c r="E51" s="27"/>
    </row>
    <row r="52" spans="3:9" ht="15.75" x14ac:dyDescent="0.25">
      <c r="C52" s="27"/>
      <c r="D52" s="181" t="s">
        <v>552</v>
      </c>
      <c r="E52" s="27"/>
    </row>
    <row r="53" spans="3:9" ht="15.75" x14ac:dyDescent="0.25">
      <c r="C53" s="27"/>
      <c r="D53" s="181" t="s">
        <v>553</v>
      </c>
      <c r="E53" s="27"/>
    </row>
    <row r="54" spans="3:9" ht="15.75" x14ac:dyDescent="0.25">
      <c r="C54" s="27"/>
      <c r="D54" s="181" t="s">
        <v>554</v>
      </c>
      <c r="E54" s="27"/>
    </row>
    <row r="55" spans="3:9" ht="15.75" x14ac:dyDescent="0.25">
      <c r="C55" s="27"/>
      <c r="D55" s="181" t="s">
        <v>555</v>
      </c>
      <c r="E55" s="27"/>
    </row>
    <row r="56" spans="3:9" ht="15.75" x14ac:dyDescent="0.25">
      <c r="D56" s="181" t="s">
        <v>556</v>
      </c>
    </row>
    <row r="57" spans="3:9" ht="15.75" x14ac:dyDescent="0.25">
      <c r="D57" s="181" t="s">
        <v>557</v>
      </c>
    </row>
    <row r="59" spans="3:9" x14ac:dyDescent="0.25">
      <c r="E59" s="56" t="s">
        <v>558</v>
      </c>
      <c r="F59" s="56"/>
      <c r="G59" s="56"/>
      <c r="H59" s="56"/>
      <c r="I59" s="56"/>
    </row>
    <row r="60" spans="3:9" x14ac:dyDescent="0.25">
      <c r="E60" s="56"/>
      <c r="F60" s="56" t="s">
        <v>559</v>
      </c>
      <c r="G60" s="56"/>
      <c r="H60" s="56"/>
      <c r="I60" s="56"/>
    </row>
    <row r="61" spans="3:9" x14ac:dyDescent="0.25">
      <c r="E61" s="56"/>
      <c r="F61" s="56" t="s">
        <v>560</v>
      </c>
      <c r="G61" s="56"/>
      <c r="H61" s="56"/>
      <c r="I61" s="56"/>
    </row>
    <row r="62" spans="3:9" x14ac:dyDescent="0.25">
      <c r="E62" s="56"/>
      <c r="F62" s="56"/>
      <c r="G62" s="56" t="s">
        <v>561</v>
      </c>
      <c r="H62" s="56"/>
      <c r="I62" s="56"/>
    </row>
    <row r="63" spans="3:9" x14ac:dyDescent="0.25">
      <c r="E63" s="56"/>
      <c r="F63" s="56"/>
      <c r="G63" s="56" t="s">
        <v>562</v>
      </c>
      <c r="H63" s="56"/>
      <c r="I63" s="56"/>
    </row>
    <row r="64" spans="3:9" x14ac:dyDescent="0.25">
      <c r="E64" s="56"/>
      <c r="F64" s="56"/>
      <c r="G64" s="56" t="s">
        <v>563</v>
      </c>
      <c r="H64" s="56"/>
      <c r="I64" s="56"/>
    </row>
    <row r="65" spans="2:10" x14ac:dyDescent="0.25">
      <c r="E65" s="56"/>
      <c r="F65" s="56"/>
      <c r="G65" s="56" t="s">
        <v>564</v>
      </c>
      <c r="H65" s="56"/>
      <c r="I65" s="56"/>
    </row>
    <row r="66" spans="2:10" x14ac:dyDescent="0.25">
      <c r="E66" s="56"/>
      <c r="F66" s="56"/>
      <c r="G66" s="56" t="s">
        <v>565</v>
      </c>
      <c r="H66" s="56"/>
      <c r="I66" s="56"/>
    </row>
    <row r="67" spans="2:10" x14ac:dyDescent="0.25">
      <c r="E67" s="56"/>
      <c r="F67" s="56"/>
      <c r="G67" s="56" t="s">
        <v>566</v>
      </c>
      <c r="H67" s="56"/>
      <c r="I67" s="56"/>
    </row>
    <row r="68" spans="2:10" x14ac:dyDescent="0.25">
      <c r="E68" s="56"/>
      <c r="F68" s="56"/>
      <c r="G68" s="56" t="s">
        <v>674</v>
      </c>
      <c r="H68" s="56"/>
      <c r="I68" s="56"/>
      <c r="J68" s="56"/>
    </row>
    <row r="69" spans="2:10" x14ac:dyDescent="0.25">
      <c r="E69" s="56"/>
      <c r="F69" s="56"/>
      <c r="G69" s="56" t="s">
        <v>746</v>
      </c>
      <c r="H69" s="56"/>
      <c r="I69" s="56"/>
      <c r="J69" s="56"/>
    </row>
    <row r="70" spans="2:10" x14ac:dyDescent="0.25">
      <c r="E70" s="56"/>
      <c r="F70" s="56"/>
      <c r="G70" s="56" t="s">
        <v>567</v>
      </c>
      <c r="H70" s="56"/>
      <c r="I70" s="56"/>
      <c r="J70" s="56"/>
    </row>
    <row r="71" spans="2:10" x14ac:dyDescent="0.25">
      <c r="G71" s="56" t="s">
        <v>568</v>
      </c>
      <c r="H71" s="56"/>
      <c r="I71" s="56"/>
      <c r="J71" s="56"/>
    </row>
    <row r="72" spans="2:10" x14ac:dyDescent="0.25">
      <c r="G72" s="56"/>
      <c r="H72" s="56" t="s">
        <v>569</v>
      </c>
      <c r="I72" s="56"/>
      <c r="J72" s="56"/>
    </row>
    <row r="73" spans="2:10" x14ac:dyDescent="0.25">
      <c r="G73" s="56"/>
      <c r="H73" s="499" t="s">
        <v>570</v>
      </c>
      <c r="I73" s="56"/>
      <c r="J73" s="56"/>
    </row>
    <row r="74" spans="2:10" x14ac:dyDescent="0.25">
      <c r="G74" s="56"/>
      <c r="H74" s="56" t="s">
        <v>571</v>
      </c>
      <c r="I74" s="56"/>
      <c r="J74" s="56"/>
    </row>
    <row r="75" spans="2:10" x14ac:dyDescent="0.25">
      <c r="G75" s="56"/>
      <c r="H75" s="56"/>
      <c r="I75" s="499" t="s">
        <v>572</v>
      </c>
      <c r="J75" s="56"/>
    </row>
    <row r="76" spans="2:10" x14ac:dyDescent="0.25">
      <c r="G76" s="56"/>
      <c r="H76" s="56"/>
      <c r="I76" s="56" t="s">
        <v>573</v>
      </c>
      <c r="J76" s="56"/>
    </row>
    <row r="77" spans="2:10" x14ac:dyDescent="0.25">
      <c r="G77" s="56"/>
      <c r="H77" s="56"/>
      <c r="I77" s="56" t="s">
        <v>574</v>
      </c>
      <c r="J77" s="56"/>
    </row>
    <row r="78" spans="2:10" x14ac:dyDescent="0.25">
      <c r="G78" s="56"/>
      <c r="H78" s="56"/>
      <c r="I78" s="56"/>
      <c r="J78" s="56"/>
    </row>
    <row r="79" spans="2:10" x14ac:dyDescent="0.25">
      <c r="B79" s="56" t="s">
        <v>575</v>
      </c>
      <c r="G79" s="56"/>
      <c r="H79" s="56"/>
      <c r="I79" s="56"/>
      <c r="J79" s="56"/>
    </row>
    <row r="80" spans="2:10" x14ac:dyDescent="0.25">
      <c r="G80" s="56"/>
      <c r="H80" s="56"/>
      <c r="I80" s="56"/>
      <c r="J80" s="56"/>
    </row>
    <row r="81" spans="2:10" x14ac:dyDescent="0.25">
      <c r="B81" s="499" t="s">
        <v>576</v>
      </c>
      <c r="C81" s="56"/>
      <c r="D81" s="56"/>
      <c r="E81" s="56"/>
      <c r="F81" s="56"/>
      <c r="G81" s="56"/>
      <c r="H81" s="56"/>
      <c r="I81" s="56"/>
      <c r="J81" s="56"/>
    </row>
    <row r="82" spans="2:10" x14ac:dyDescent="0.25">
      <c r="B82" s="56" t="s">
        <v>577</v>
      </c>
      <c r="C82" s="56"/>
      <c r="D82" s="56"/>
      <c r="E82" s="56"/>
      <c r="F82" s="56"/>
      <c r="G82" s="56"/>
      <c r="H82" s="56"/>
      <c r="I82" s="56"/>
      <c r="J82" s="56"/>
    </row>
    <row r="83" spans="2:10" x14ac:dyDescent="0.25">
      <c r="B83" s="56"/>
      <c r="D83" s="56"/>
      <c r="E83" s="56"/>
      <c r="F83" s="56"/>
      <c r="G83" s="56"/>
      <c r="H83" s="56"/>
      <c r="I83" s="56"/>
      <c r="J83" s="56"/>
    </row>
    <row r="84" spans="2:10" x14ac:dyDescent="0.25">
      <c r="C84" s="56" t="s">
        <v>578</v>
      </c>
    </row>
    <row r="85" spans="2:10" x14ac:dyDescent="0.25">
      <c r="C85" s="56" t="s">
        <v>579</v>
      </c>
    </row>
    <row r="86" spans="2:10" x14ac:dyDescent="0.25">
      <c r="C86" s="56"/>
    </row>
    <row r="87" spans="2:10" x14ac:dyDescent="0.25">
      <c r="C87" s="56" t="s">
        <v>580</v>
      </c>
    </row>
    <row r="88" spans="2:10" x14ac:dyDescent="0.25">
      <c r="C88" s="56" t="s">
        <v>581</v>
      </c>
    </row>
    <row r="89" spans="2:10" x14ac:dyDescent="0.25">
      <c r="C89" s="56" t="s">
        <v>582</v>
      </c>
    </row>
    <row r="90" spans="2:10" x14ac:dyDescent="0.25">
      <c r="C90" s="56" t="s">
        <v>583</v>
      </c>
    </row>
    <row r="91" spans="2:10" x14ac:dyDescent="0.25">
      <c r="C91" s="56"/>
    </row>
    <row r="92" spans="2:10" x14ac:dyDescent="0.25">
      <c r="B92" s="56" t="s">
        <v>584</v>
      </c>
      <c r="D92" s="56"/>
      <c r="E92" s="56"/>
    </row>
    <row r="93" spans="2:10" x14ac:dyDescent="0.25">
      <c r="B93" s="56"/>
      <c r="D93" s="56"/>
      <c r="E93" s="56"/>
    </row>
    <row r="94" spans="2:10" x14ac:dyDescent="0.25">
      <c r="C94" s="56"/>
      <c r="D94" s="56" t="s">
        <v>585</v>
      </c>
      <c r="E94" s="56"/>
    </row>
    <row r="95" spans="2:10" x14ac:dyDescent="0.25">
      <c r="C95" s="56"/>
      <c r="D95" s="56"/>
      <c r="E95" s="56" t="s">
        <v>586</v>
      </c>
    </row>
    <row r="96" spans="2:10" x14ac:dyDescent="0.25">
      <c r="E96" s="56" t="s">
        <v>587</v>
      </c>
    </row>
    <row r="97" spans="2:11" x14ac:dyDescent="0.25">
      <c r="D97" s="56" t="s">
        <v>588</v>
      </c>
    </row>
    <row r="98" spans="2:11" x14ac:dyDescent="0.25">
      <c r="D98" s="56" t="s">
        <v>589</v>
      </c>
    </row>
    <row r="99" spans="2:11" x14ac:dyDescent="0.25">
      <c r="D99" s="56" t="s">
        <v>590</v>
      </c>
    </row>
    <row r="101" spans="2:11" x14ac:dyDescent="0.25">
      <c r="B101" s="56" t="s">
        <v>591</v>
      </c>
    </row>
    <row r="103" spans="2:11" x14ac:dyDescent="0.25">
      <c r="B103" s="56" t="s">
        <v>592</v>
      </c>
    </row>
    <row r="106" spans="2:11" x14ac:dyDescent="0.25">
      <c r="C106" s="56" t="s">
        <v>593</v>
      </c>
      <c r="D106" s="56"/>
      <c r="E106" s="56"/>
      <c r="F106" s="56"/>
      <c r="G106" s="56"/>
      <c r="H106" s="56"/>
      <c r="I106" s="56"/>
      <c r="J106" s="56"/>
      <c r="K106" s="56"/>
    </row>
    <row r="107" spans="2:11" x14ac:dyDescent="0.25">
      <c r="C107" s="56"/>
      <c r="D107" s="56"/>
      <c r="E107" s="56"/>
      <c r="F107" s="56"/>
      <c r="G107" s="56"/>
      <c r="H107" s="56"/>
      <c r="I107" s="56"/>
      <c r="J107" s="56"/>
      <c r="K107" s="56"/>
    </row>
    <row r="108" spans="2:11" x14ac:dyDescent="0.25">
      <c r="C108" s="56"/>
      <c r="D108" s="56" t="s">
        <v>594</v>
      </c>
      <c r="E108" s="56"/>
      <c r="F108" s="56"/>
      <c r="G108" s="56"/>
      <c r="H108" s="56"/>
      <c r="I108" s="56"/>
      <c r="J108" s="56"/>
      <c r="K108" s="56"/>
    </row>
    <row r="109" spans="2:11" x14ac:dyDescent="0.25">
      <c r="C109" s="56"/>
      <c r="D109" s="56"/>
      <c r="E109" s="56"/>
      <c r="F109" s="56"/>
      <c r="G109" s="56"/>
      <c r="H109" s="56"/>
      <c r="I109" s="56"/>
      <c r="J109" s="56"/>
      <c r="K109" s="56"/>
    </row>
    <row r="110" spans="2:11" x14ac:dyDescent="0.25">
      <c r="C110" s="56"/>
      <c r="D110" s="56"/>
      <c r="E110" s="499" t="s">
        <v>595</v>
      </c>
      <c r="F110" s="56"/>
      <c r="G110" s="56"/>
      <c r="H110" s="56"/>
      <c r="I110" s="56"/>
      <c r="J110" s="56"/>
      <c r="K110" s="56"/>
    </row>
    <row r="111" spans="2:11" x14ac:dyDescent="0.25">
      <c r="C111" s="56"/>
      <c r="D111" s="56"/>
      <c r="E111" s="56" t="s">
        <v>740</v>
      </c>
      <c r="F111" s="56"/>
      <c r="G111" s="56"/>
      <c r="H111" s="56"/>
      <c r="I111" s="56"/>
      <c r="J111" s="56"/>
      <c r="K111" s="56"/>
    </row>
    <row r="112" spans="2:11" x14ac:dyDescent="0.25">
      <c r="C112" s="56"/>
      <c r="D112" s="56"/>
      <c r="E112" s="56"/>
      <c r="F112" s="56"/>
      <c r="G112" s="56"/>
      <c r="H112" s="56"/>
      <c r="I112" s="56"/>
      <c r="J112" s="56"/>
      <c r="K112" s="56"/>
    </row>
    <row r="113" spans="2:13" x14ac:dyDescent="0.25">
      <c r="C113" s="56"/>
      <c r="D113" s="56"/>
      <c r="E113" s="56"/>
      <c r="F113" s="56" t="s">
        <v>596</v>
      </c>
      <c r="G113" s="56"/>
      <c r="H113" s="56"/>
      <c r="I113" s="56"/>
      <c r="J113" s="56"/>
      <c r="K113" s="56"/>
    </row>
    <row r="114" spans="2:13" x14ac:dyDescent="0.25">
      <c r="C114" s="56"/>
      <c r="D114" s="56"/>
      <c r="E114" s="56"/>
      <c r="F114" s="56"/>
      <c r="G114" s="56"/>
      <c r="H114" s="56" t="s">
        <v>597</v>
      </c>
      <c r="I114" s="56"/>
      <c r="J114" s="56"/>
      <c r="K114" s="56"/>
    </row>
    <row r="115" spans="2:13" x14ac:dyDescent="0.25">
      <c r="C115" s="56"/>
      <c r="D115" s="56"/>
      <c r="E115" s="56"/>
      <c r="F115" s="56"/>
      <c r="G115" s="56"/>
      <c r="H115" s="56" t="s">
        <v>61</v>
      </c>
      <c r="I115" s="56"/>
      <c r="J115" s="56"/>
      <c r="K115" s="56"/>
    </row>
    <row r="116" spans="2:13" x14ac:dyDescent="0.25">
      <c r="C116" s="56"/>
      <c r="D116" s="56"/>
      <c r="E116" s="56"/>
      <c r="F116" s="56"/>
      <c r="G116" s="56"/>
      <c r="H116" s="56" t="s">
        <v>598</v>
      </c>
      <c r="I116" s="56"/>
      <c r="J116" s="56"/>
      <c r="K116" s="56"/>
    </row>
    <row r="117" spans="2:13" x14ac:dyDescent="0.25">
      <c r="C117" s="56"/>
      <c r="D117" s="56"/>
      <c r="E117" s="56"/>
      <c r="F117" s="56"/>
      <c r="G117" s="56"/>
      <c r="H117" s="56" t="s">
        <v>599</v>
      </c>
      <c r="I117" s="56"/>
      <c r="J117" s="56"/>
      <c r="K117" s="56"/>
    </row>
    <row r="118" spans="2:13" x14ac:dyDescent="0.25">
      <c r="C118" s="56"/>
      <c r="D118" s="56"/>
      <c r="E118" s="56"/>
      <c r="F118" s="56"/>
      <c r="G118" s="56"/>
      <c r="H118" s="56" t="s">
        <v>600</v>
      </c>
      <c r="I118" s="56"/>
      <c r="J118" s="56"/>
      <c r="K118" s="56"/>
    </row>
    <row r="119" spans="2:13" x14ac:dyDescent="0.25">
      <c r="C119" s="56"/>
      <c r="D119" s="56"/>
      <c r="E119" s="56"/>
      <c r="F119" s="56"/>
      <c r="G119" s="56"/>
      <c r="H119" s="56" t="s">
        <v>601</v>
      </c>
      <c r="I119" s="56"/>
      <c r="J119" s="56"/>
      <c r="K119" s="56"/>
    </row>
    <row r="120" spans="2:13" x14ac:dyDescent="0.25">
      <c r="C120" s="56"/>
      <c r="D120" s="56"/>
      <c r="E120" s="56"/>
      <c r="F120" s="56"/>
      <c r="G120" s="56"/>
      <c r="H120" s="56" t="s">
        <v>602</v>
      </c>
      <c r="I120" s="56"/>
      <c r="J120" s="56"/>
      <c r="K120" s="56"/>
    </row>
    <row r="121" spans="2:13" x14ac:dyDescent="0.25">
      <c r="C121" s="56"/>
      <c r="D121" s="56"/>
      <c r="E121" s="56"/>
      <c r="F121" s="56"/>
      <c r="G121" s="56"/>
      <c r="H121" s="56" t="s">
        <v>603</v>
      </c>
      <c r="I121" s="56"/>
      <c r="J121" s="56"/>
      <c r="K121" s="56"/>
    </row>
    <row r="122" spans="2:13" x14ac:dyDescent="0.25">
      <c r="C122" s="56"/>
      <c r="D122" s="56"/>
      <c r="E122" s="56"/>
      <c r="F122" s="56"/>
      <c r="G122" s="56"/>
      <c r="H122" s="56"/>
      <c r="I122" s="56"/>
      <c r="J122" s="56"/>
      <c r="K122" s="56"/>
    </row>
    <row r="123" spans="2:13" x14ac:dyDescent="0.25">
      <c r="B123" s="513"/>
      <c r="C123" s="514"/>
      <c r="D123" s="514"/>
      <c r="E123" s="514"/>
      <c r="F123" s="514"/>
      <c r="G123" s="514"/>
      <c r="H123" s="514"/>
      <c r="I123" s="514"/>
      <c r="J123" s="514"/>
      <c r="K123" s="514"/>
      <c r="L123" s="515"/>
      <c r="M123" s="516"/>
    </row>
    <row r="124" spans="2:13" x14ac:dyDescent="0.25">
      <c r="B124" s="423"/>
      <c r="C124" s="56" t="s">
        <v>604</v>
      </c>
      <c r="D124" s="56"/>
      <c r="E124" s="56"/>
      <c r="H124" s="56"/>
      <c r="I124" s="56"/>
      <c r="J124" s="56"/>
      <c r="K124" s="56"/>
      <c r="M124" s="517"/>
    </row>
    <row r="125" spans="2:13" x14ac:dyDescent="0.25">
      <c r="B125" s="423"/>
      <c r="C125" s="56" t="s">
        <v>605</v>
      </c>
      <c r="D125" s="56"/>
      <c r="E125" s="56"/>
      <c r="H125" s="56"/>
      <c r="I125" s="56"/>
      <c r="J125" s="56"/>
      <c r="K125" s="56"/>
      <c r="M125" s="517"/>
    </row>
    <row r="126" spans="2:13" x14ac:dyDescent="0.25">
      <c r="B126" s="423"/>
      <c r="M126" s="517"/>
    </row>
    <row r="127" spans="2:13" x14ac:dyDescent="0.25">
      <c r="B127" s="423"/>
      <c r="D127" s="56" t="s">
        <v>606</v>
      </c>
      <c r="M127" s="517"/>
    </row>
    <row r="128" spans="2:13" x14ac:dyDescent="0.25">
      <c r="B128" s="423"/>
      <c r="D128" s="56" t="s">
        <v>607</v>
      </c>
      <c r="M128" s="517"/>
    </row>
    <row r="129" spans="2:13" x14ac:dyDescent="0.25">
      <c r="B129" s="423"/>
      <c r="D129" s="56" t="s">
        <v>608</v>
      </c>
      <c r="M129" s="517"/>
    </row>
    <row r="130" spans="2:13" x14ac:dyDescent="0.25">
      <c r="B130" s="423"/>
      <c r="D130" s="56" t="s">
        <v>609</v>
      </c>
      <c r="M130" s="517"/>
    </row>
    <row r="131" spans="2:13" x14ac:dyDescent="0.25">
      <c r="B131" s="423"/>
      <c r="D131" s="56"/>
      <c r="M131" s="517"/>
    </row>
    <row r="132" spans="2:13" x14ac:dyDescent="0.25">
      <c r="B132" s="423"/>
      <c r="M132" s="517"/>
    </row>
    <row r="133" spans="2:13" x14ac:dyDescent="0.25">
      <c r="B133" s="423"/>
      <c r="C133" s="56" t="s">
        <v>610</v>
      </c>
      <c r="M133" s="517"/>
    </row>
    <row r="134" spans="2:13" x14ac:dyDescent="0.25">
      <c r="B134" s="423"/>
      <c r="C134" s="56" t="s">
        <v>611</v>
      </c>
      <c r="M134" s="517"/>
    </row>
    <row r="135" spans="2:13" x14ac:dyDescent="0.25">
      <c r="B135" s="423"/>
      <c r="M135" s="517"/>
    </row>
    <row r="136" spans="2:13" x14ac:dyDescent="0.25">
      <c r="B136" s="423"/>
      <c r="C136" s="464" t="s">
        <v>612</v>
      </c>
      <c r="M136" s="517"/>
    </row>
    <row r="137" spans="2:13" x14ac:dyDescent="0.25">
      <c r="B137" s="518"/>
      <c r="C137" s="519"/>
      <c r="D137" s="519"/>
      <c r="E137" s="519"/>
      <c r="F137" s="519"/>
      <c r="G137" s="519"/>
      <c r="H137" s="519"/>
      <c r="I137" s="519"/>
      <c r="J137" s="519"/>
      <c r="K137" s="519"/>
      <c r="L137" s="519"/>
      <c r="M137" s="520"/>
    </row>
    <row r="139" spans="2:13" x14ac:dyDescent="0.25">
      <c r="B139" s="56" t="s">
        <v>809</v>
      </c>
    </row>
    <row r="140" spans="2:13" x14ac:dyDescent="0.25">
      <c r="B140" s="56" t="s">
        <v>613</v>
      </c>
    </row>
    <row r="142" spans="2:13" x14ac:dyDescent="0.25">
      <c r="B142" s="56" t="s">
        <v>614</v>
      </c>
      <c r="C142" s="56"/>
      <c r="D142" s="56"/>
      <c r="E142" s="56"/>
      <c r="F142" s="56"/>
      <c r="G142" s="56"/>
      <c r="H142" s="56"/>
      <c r="I142" s="56"/>
      <c r="J142" s="56"/>
      <c r="K142" s="56"/>
      <c r="L142" s="56"/>
      <c r="M142" s="56"/>
    </row>
    <row r="143" spans="2:13" x14ac:dyDescent="0.25">
      <c r="B143" s="56"/>
      <c r="C143" s="56"/>
      <c r="D143" s="56"/>
      <c r="E143" s="56"/>
      <c r="F143" s="56"/>
      <c r="G143" s="56"/>
      <c r="H143" s="56"/>
      <c r="I143" s="56"/>
      <c r="J143" s="56"/>
      <c r="K143" s="56"/>
      <c r="L143" s="56"/>
      <c r="M143" s="56"/>
    </row>
    <row r="144" spans="2:13" x14ac:dyDescent="0.25">
      <c r="B144" s="56"/>
      <c r="C144" s="464" t="s">
        <v>615</v>
      </c>
      <c r="D144" s="56"/>
      <c r="E144" s="56"/>
      <c r="F144" s="56"/>
      <c r="G144" s="56"/>
      <c r="H144" s="56"/>
      <c r="I144" s="56"/>
      <c r="J144" s="56"/>
      <c r="K144" s="56"/>
      <c r="L144" s="56"/>
      <c r="M144" s="56"/>
    </row>
    <row r="145" spans="2:13" x14ac:dyDescent="0.25">
      <c r="B145" s="56"/>
      <c r="C145" s="56"/>
      <c r="D145" s="56"/>
      <c r="E145" s="56"/>
      <c r="F145" s="56"/>
      <c r="G145" s="56"/>
      <c r="H145" s="56"/>
      <c r="I145" s="56"/>
      <c r="J145" s="56"/>
      <c r="K145" s="56"/>
      <c r="L145" s="56"/>
      <c r="M145" s="56"/>
    </row>
    <row r="146" spans="2:13" x14ac:dyDescent="0.25">
      <c r="B146" s="56"/>
      <c r="C146" s="56"/>
      <c r="D146" s="56" t="s">
        <v>616</v>
      </c>
      <c r="E146" s="56"/>
      <c r="F146" s="56"/>
      <c r="G146" s="56"/>
      <c r="H146" s="56"/>
      <c r="I146" s="56"/>
      <c r="J146" s="56"/>
      <c r="K146" s="56"/>
      <c r="L146" s="56"/>
      <c r="M146" s="56"/>
    </row>
    <row r="147" spans="2:13" x14ac:dyDescent="0.25">
      <c r="B147" s="56"/>
      <c r="C147" s="56"/>
      <c r="D147" s="56"/>
      <c r="E147" s="56"/>
      <c r="F147" s="56"/>
      <c r="G147" s="56"/>
      <c r="H147" s="56"/>
      <c r="I147" s="56"/>
      <c r="J147" s="56"/>
      <c r="K147" s="56"/>
      <c r="L147" s="56"/>
      <c r="M147" s="56"/>
    </row>
    <row r="148" spans="2:13" x14ac:dyDescent="0.25">
      <c r="B148" s="56"/>
      <c r="C148" s="56"/>
      <c r="D148" s="56"/>
      <c r="E148" s="56" t="s">
        <v>617</v>
      </c>
      <c r="F148" s="56"/>
      <c r="G148" s="56"/>
      <c r="H148" s="56"/>
      <c r="I148" s="56"/>
      <c r="J148" s="56"/>
      <c r="K148" s="56"/>
      <c r="L148" s="56"/>
      <c r="M148" s="56"/>
    </row>
    <row r="149" spans="2:13" x14ac:dyDescent="0.25">
      <c r="B149" s="56"/>
      <c r="C149" s="56"/>
      <c r="D149" s="56"/>
      <c r="E149" s="56"/>
      <c r="F149" s="56"/>
      <c r="G149" s="56"/>
      <c r="H149" s="56"/>
      <c r="I149" s="56"/>
      <c r="J149" s="56"/>
      <c r="K149" s="56"/>
      <c r="L149" s="56"/>
      <c r="M149" s="56"/>
    </row>
    <row r="150" spans="2:13" x14ac:dyDescent="0.25">
      <c r="B150" s="56"/>
      <c r="C150" s="56"/>
      <c r="D150" s="56"/>
      <c r="E150" s="56"/>
      <c r="F150" s="56" t="s">
        <v>618</v>
      </c>
      <c r="G150" s="56"/>
      <c r="H150" s="56"/>
      <c r="I150" s="56"/>
      <c r="J150" s="56"/>
      <c r="K150" s="56"/>
      <c r="L150" s="56"/>
      <c r="M150" s="56"/>
    </row>
    <row r="151" spans="2:13" x14ac:dyDescent="0.25">
      <c r="B151" s="56"/>
      <c r="C151" s="56"/>
      <c r="D151" s="56"/>
      <c r="E151" s="56"/>
      <c r="F151" s="56"/>
      <c r="G151" s="56"/>
      <c r="H151" s="56"/>
      <c r="I151" s="56"/>
      <c r="J151" s="56"/>
      <c r="K151" s="56"/>
      <c r="L151" s="56"/>
      <c r="M151" s="56"/>
    </row>
    <row r="152" spans="2:13" x14ac:dyDescent="0.25">
      <c r="G152" s="56" t="s">
        <v>619</v>
      </c>
    </row>
    <row r="153" spans="2:13" x14ac:dyDescent="0.25">
      <c r="G153" s="56" t="s">
        <v>620</v>
      </c>
    </row>
    <row r="154" spans="2:13" x14ac:dyDescent="0.25">
      <c r="G154" s="56" t="s">
        <v>621</v>
      </c>
    </row>
    <row r="155" spans="2:13" x14ac:dyDescent="0.25">
      <c r="G155" s="56" t="s">
        <v>622</v>
      </c>
    </row>
    <row r="156" spans="2:13" x14ac:dyDescent="0.25">
      <c r="G156" s="56" t="s">
        <v>540</v>
      </c>
    </row>
    <row r="158" spans="2:13" x14ac:dyDescent="0.25">
      <c r="D158" s="56" t="s">
        <v>623</v>
      </c>
    </row>
    <row r="160" spans="2:13" x14ac:dyDescent="0.25">
      <c r="D160" s="56" t="s">
        <v>624</v>
      </c>
    </row>
    <row r="161" spans="4:15" x14ac:dyDescent="0.25">
      <c r="D161" s="56"/>
    </row>
    <row r="162" spans="4:15" x14ac:dyDescent="0.25">
      <c r="D162" s="56"/>
      <c r="E162" s="56" t="s">
        <v>625</v>
      </c>
      <c r="F162" s="56"/>
      <c r="G162" s="56"/>
      <c r="H162" s="56"/>
      <c r="I162" s="56"/>
      <c r="J162" s="56"/>
      <c r="K162" s="56"/>
      <c r="L162" s="56"/>
      <c r="M162" s="56"/>
      <c r="N162" s="56"/>
      <c r="O162" s="56"/>
    </row>
    <row r="163" spans="4:15" x14ac:dyDescent="0.25">
      <c r="D163" s="56"/>
      <c r="E163" s="56" t="s">
        <v>626</v>
      </c>
      <c r="G163" s="56"/>
      <c r="H163" s="56"/>
      <c r="I163" s="56"/>
      <c r="J163" s="56"/>
      <c r="K163" s="56"/>
      <c r="L163" s="56"/>
      <c r="M163" s="56"/>
      <c r="N163" s="56"/>
      <c r="O163" s="56"/>
    </row>
    <row r="165" spans="4:15" x14ac:dyDescent="0.25">
      <c r="D165" s="56" t="s">
        <v>627</v>
      </c>
      <c r="H165" s="56"/>
    </row>
    <row r="167" spans="4:15" x14ac:dyDescent="0.25">
      <c r="D167" s="56" t="s">
        <v>628</v>
      </c>
      <c r="E167" s="56"/>
      <c r="F167" s="56"/>
      <c r="G167" s="56"/>
      <c r="H167" s="56"/>
    </row>
    <row r="168" spans="4:15" x14ac:dyDescent="0.25">
      <c r="D168" s="56"/>
      <c r="E168" s="56"/>
      <c r="F168" s="56"/>
      <c r="G168" s="56"/>
      <c r="H168" s="56"/>
    </row>
    <row r="169" spans="4:15" x14ac:dyDescent="0.25">
      <c r="D169" s="56" t="s">
        <v>629</v>
      </c>
      <c r="E169" s="56"/>
      <c r="F169" s="56"/>
      <c r="G169" s="56"/>
      <c r="H169" s="56"/>
    </row>
    <row r="170" spans="4:15" x14ac:dyDescent="0.25">
      <c r="D170" s="56"/>
      <c r="E170" s="56"/>
      <c r="F170" s="56"/>
      <c r="G170" s="56"/>
      <c r="H170" s="56"/>
    </row>
    <row r="171" spans="4:15" x14ac:dyDescent="0.25">
      <c r="D171" s="56"/>
      <c r="E171" s="56"/>
      <c r="F171" s="56" t="s">
        <v>630</v>
      </c>
      <c r="G171" s="56"/>
      <c r="H171" s="56"/>
    </row>
    <row r="172" spans="4:15" x14ac:dyDescent="0.25">
      <c r="D172" s="56"/>
      <c r="E172" s="56"/>
      <c r="F172" s="56" t="s">
        <v>631</v>
      </c>
      <c r="G172" s="56"/>
      <c r="H172" s="56"/>
    </row>
    <row r="173" spans="4:15" x14ac:dyDescent="0.25">
      <c r="D173" s="56"/>
      <c r="E173" s="56"/>
      <c r="F173" s="56"/>
      <c r="G173" s="56" t="s">
        <v>632</v>
      </c>
      <c r="H173" s="56"/>
    </row>
    <row r="174" spans="4:15" x14ac:dyDescent="0.25">
      <c r="D174" s="56"/>
      <c r="E174" s="56"/>
      <c r="F174" s="56" t="s">
        <v>633</v>
      </c>
      <c r="G174" s="56"/>
      <c r="H174" s="56"/>
    </row>
    <row r="175" spans="4:15" x14ac:dyDescent="0.25">
      <c r="D175" s="56"/>
      <c r="E175" s="56"/>
      <c r="F175" s="56" t="s">
        <v>634</v>
      </c>
      <c r="G175" s="56"/>
      <c r="H175" s="56"/>
    </row>
    <row r="176" spans="4:15" x14ac:dyDescent="0.25">
      <c r="D176" s="56"/>
      <c r="E176" s="56"/>
      <c r="F176" s="56" t="s">
        <v>635</v>
      </c>
      <c r="G176" s="56"/>
      <c r="H176" s="56"/>
    </row>
    <row r="178" spans="3:8" x14ac:dyDescent="0.25">
      <c r="C178" s="56" t="s">
        <v>636</v>
      </c>
    </row>
    <row r="180" spans="3:8" x14ac:dyDescent="0.25">
      <c r="E180" s="56" t="s">
        <v>630</v>
      </c>
    </row>
    <row r="181" spans="3:8" x14ac:dyDescent="0.25">
      <c r="E181" t="s">
        <v>637</v>
      </c>
    </row>
    <row r="183" spans="3:8" x14ac:dyDescent="0.25">
      <c r="C183" s="464" t="s">
        <v>638</v>
      </c>
      <c r="D183" s="56"/>
      <c r="E183" s="56"/>
      <c r="F183" s="56"/>
      <c r="G183" s="56"/>
      <c r="H183" s="56"/>
    </row>
    <row r="184" spans="3:8" x14ac:dyDescent="0.25">
      <c r="C184" s="56"/>
      <c r="D184" s="56"/>
      <c r="E184" s="56"/>
      <c r="F184" s="56"/>
      <c r="G184" s="56"/>
      <c r="H184" s="56"/>
    </row>
    <row r="185" spans="3:8" x14ac:dyDescent="0.25">
      <c r="C185" s="56"/>
      <c r="D185" s="56" t="s">
        <v>735</v>
      </c>
      <c r="E185" s="56"/>
      <c r="F185" s="56"/>
      <c r="G185" s="56"/>
      <c r="H185" s="56"/>
    </row>
    <row r="186" spans="3:8" x14ac:dyDescent="0.25">
      <c r="C186" s="56"/>
      <c r="D186" s="56"/>
      <c r="E186" s="56"/>
      <c r="F186" s="56"/>
      <c r="G186" s="56"/>
      <c r="H186" s="56"/>
    </row>
    <row r="187" spans="3:8" x14ac:dyDescent="0.25">
      <c r="C187" s="56"/>
      <c r="D187" s="56"/>
      <c r="E187" s="56" t="s">
        <v>639</v>
      </c>
      <c r="F187" s="56"/>
      <c r="G187" s="56"/>
      <c r="H187" s="56"/>
    </row>
    <row r="188" spans="3:8" x14ac:dyDescent="0.25">
      <c r="C188" s="56"/>
      <c r="D188" s="56"/>
      <c r="E188" s="56"/>
      <c r="F188" s="56"/>
      <c r="G188" s="56"/>
      <c r="H188" s="56"/>
    </row>
    <row r="189" spans="3:8" x14ac:dyDescent="0.25">
      <c r="D189" s="56" t="s">
        <v>736</v>
      </c>
      <c r="E189" s="56"/>
      <c r="F189" s="56"/>
      <c r="G189" s="56"/>
      <c r="H189" s="56"/>
    </row>
    <row r="190" spans="3:8" x14ac:dyDescent="0.25">
      <c r="D190" s="56"/>
      <c r="E190" s="56"/>
      <c r="F190" s="56"/>
      <c r="G190" s="56"/>
      <c r="H190" s="56"/>
    </row>
    <row r="191" spans="3:8" x14ac:dyDescent="0.25">
      <c r="D191" s="56"/>
      <c r="E191" s="56" t="s">
        <v>640</v>
      </c>
      <c r="F191" s="56"/>
      <c r="G191" s="56"/>
      <c r="H191" s="56"/>
    </row>
    <row r="192" spans="3:8" x14ac:dyDescent="0.25">
      <c r="D192" s="56"/>
      <c r="E192" s="56"/>
      <c r="F192" s="56"/>
      <c r="G192" s="56"/>
      <c r="H192" s="56"/>
    </row>
    <row r="193" spans="2:10" x14ac:dyDescent="0.25">
      <c r="D193" s="56"/>
      <c r="E193" s="56" t="s">
        <v>641</v>
      </c>
      <c r="F193" s="56"/>
      <c r="G193" s="56"/>
      <c r="H193" s="56"/>
    </row>
    <row r="194" spans="2:10" x14ac:dyDescent="0.25">
      <c r="D194" s="56"/>
      <c r="E194" s="56"/>
      <c r="F194" s="56"/>
      <c r="G194" s="56"/>
      <c r="H194" s="56"/>
    </row>
    <row r="195" spans="2:10" x14ac:dyDescent="0.25">
      <c r="D195" s="56"/>
      <c r="E195" s="56" t="s">
        <v>642</v>
      </c>
      <c r="F195" s="56"/>
      <c r="G195" s="56"/>
      <c r="H195" s="56"/>
      <c r="I195" s="56"/>
      <c r="J195" s="56"/>
    </row>
    <row r="196" spans="2:10" x14ac:dyDescent="0.25">
      <c r="D196" s="56"/>
      <c r="E196" s="56"/>
      <c r="F196" s="56"/>
      <c r="G196" s="56"/>
      <c r="H196" s="56"/>
      <c r="I196" s="56"/>
      <c r="J196" s="56"/>
    </row>
    <row r="197" spans="2:10" x14ac:dyDescent="0.25">
      <c r="D197" s="56"/>
      <c r="E197" s="56"/>
      <c r="F197" s="56"/>
      <c r="G197" s="56" t="s">
        <v>455</v>
      </c>
      <c r="H197" s="56"/>
      <c r="I197" s="56"/>
      <c r="J197" s="56"/>
    </row>
    <row r="198" spans="2:10" x14ac:dyDescent="0.25">
      <c r="D198" s="56"/>
      <c r="E198" s="56"/>
      <c r="F198" s="56"/>
      <c r="G198" s="56" t="s">
        <v>643</v>
      </c>
      <c r="H198" s="56"/>
      <c r="I198" s="56"/>
      <c r="J198" s="56"/>
    </row>
    <row r="199" spans="2:10" x14ac:dyDescent="0.25">
      <c r="D199" s="56"/>
      <c r="E199" s="56"/>
      <c r="F199" s="56"/>
      <c r="G199" s="56"/>
      <c r="H199" s="56"/>
      <c r="I199" s="56"/>
      <c r="J199" s="56"/>
    </row>
    <row r="200" spans="2:10" x14ac:dyDescent="0.25">
      <c r="D200" s="56"/>
      <c r="E200" s="56"/>
      <c r="F200" s="56" t="s">
        <v>644</v>
      </c>
      <c r="G200" s="56"/>
      <c r="H200" s="56"/>
      <c r="I200" s="56"/>
      <c r="J200" s="56"/>
    </row>
    <row r="201" spans="2:10" x14ac:dyDescent="0.25">
      <c r="D201" s="56"/>
      <c r="E201" s="56"/>
      <c r="F201" s="56"/>
      <c r="G201" s="56"/>
      <c r="H201" s="56"/>
      <c r="I201" s="56"/>
      <c r="J201" s="56"/>
    </row>
    <row r="202" spans="2:10" x14ac:dyDescent="0.25">
      <c r="D202" s="56" t="s">
        <v>645</v>
      </c>
      <c r="E202" s="56"/>
      <c r="F202" s="56"/>
      <c r="G202" s="56"/>
      <c r="H202" s="56"/>
      <c r="I202" s="56"/>
      <c r="J202" s="56"/>
    </row>
    <row r="203" spans="2:10" x14ac:dyDescent="0.25">
      <c r="D203" s="56"/>
      <c r="E203" s="56"/>
      <c r="F203" s="56"/>
      <c r="G203" s="56"/>
      <c r="H203" s="56"/>
      <c r="I203" s="56"/>
      <c r="J203" s="56"/>
    </row>
    <row r="204" spans="2:10" x14ac:dyDescent="0.25">
      <c r="B204" s="56"/>
      <c r="C204" s="56" t="s">
        <v>646</v>
      </c>
      <c r="D204" s="56"/>
      <c r="E204" s="56"/>
      <c r="F204" s="56"/>
      <c r="G204" s="56"/>
      <c r="H204" s="56"/>
      <c r="I204" s="56"/>
      <c r="J204" s="56"/>
    </row>
    <row r="205" spans="2:10" x14ac:dyDescent="0.25">
      <c r="B205" s="56"/>
      <c r="C205" s="56"/>
      <c r="D205" s="56"/>
      <c r="E205" s="56"/>
    </row>
    <row r="206" spans="2:10" x14ac:dyDescent="0.25">
      <c r="B206" s="56"/>
      <c r="C206" s="56"/>
      <c r="D206" s="56" t="s">
        <v>647</v>
      </c>
      <c r="E206" s="56"/>
    </row>
    <row r="208" spans="2:10" x14ac:dyDescent="0.25">
      <c r="E208" s="499" t="s">
        <v>648</v>
      </c>
      <c r="F208" s="56"/>
    </row>
    <row r="209" spans="4:9" x14ac:dyDescent="0.25">
      <c r="E209" s="56" t="s">
        <v>649</v>
      </c>
    </row>
    <row r="211" spans="4:9" x14ac:dyDescent="0.25">
      <c r="D211" s="56" t="s">
        <v>650</v>
      </c>
      <c r="E211" s="56"/>
      <c r="F211" s="56"/>
      <c r="G211" s="56"/>
      <c r="H211" s="56"/>
      <c r="I211" s="56"/>
    </row>
    <row r="212" spans="4:9" x14ac:dyDescent="0.25">
      <c r="D212" s="56"/>
      <c r="E212" s="56"/>
      <c r="F212" s="56"/>
      <c r="G212" s="56"/>
      <c r="H212" s="56"/>
      <c r="I212" s="56"/>
    </row>
    <row r="213" spans="4:9" x14ac:dyDescent="0.25">
      <c r="D213" s="56" t="s">
        <v>651</v>
      </c>
      <c r="E213" s="56"/>
      <c r="F213" s="56"/>
      <c r="G213" s="56"/>
      <c r="H213" s="56"/>
      <c r="I213" s="56"/>
    </row>
    <row r="214" spans="4:9" x14ac:dyDescent="0.25">
      <c r="D214" s="56"/>
      <c r="E214" s="56"/>
      <c r="F214" s="56"/>
      <c r="G214" s="56"/>
      <c r="H214" s="56"/>
      <c r="I214" s="56"/>
    </row>
    <row r="215" spans="4:9" x14ac:dyDescent="0.25">
      <c r="D215" s="56"/>
      <c r="E215" s="499" t="s">
        <v>652</v>
      </c>
      <c r="F215" s="56"/>
      <c r="G215" s="56"/>
      <c r="H215" s="56"/>
      <c r="I215" s="56"/>
    </row>
    <row r="216" spans="4:9" x14ac:dyDescent="0.25">
      <c r="D216" s="56"/>
      <c r="E216" s="56" t="s">
        <v>653</v>
      </c>
      <c r="F216" s="56"/>
      <c r="G216" s="56"/>
      <c r="H216" s="56"/>
      <c r="I216" s="56"/>
    </row>
    <row r="218" spans="4:9" x14ac:dyDescent="0.25">
      <c r="E218" s="499" t="s">
        <v>654</v>
      </c>
    </row>
    <row r="219" spans="4:9" x14ac:dyDescent="0.25">
      <c r="E219" s="56" t="s">
        <v>655</v>
      </c>
    </row>
    <row r="221" spans="4:9" x14ac:dyDescent="0.25">
      <c r="E221" s="499" t="s">
        <v>656</v>
      </c>
    </row>
    <row r="223" spans="4:9" x14ac:dyDescent="0.25">
      <c r="E223" s="56" t="s">
        <v>657</v>
      </c>
    </row>
    <row r="226" spans="2:7" x14ac:dyDescent="0.25">
      <c r="C226" s="56" t="s">
        <v>658</v>
      </c>
      <c r="D226" s="56"/>
      <c r="E226" s="56"/>
      <c r="F226" s="56"/>
      <c r="G226" s="56"/>
    </row>
    <row r="227" spans="2:7" x14ac:dyDescent="0.25">
      <c r="C227" s="56"/>
      <c r="D227" s="56"/>
      <c r="E227" s="56"/>
      <c r="F227" s="56"/>
      <c r="G227" s="56"/>
    </row>
    <row r="228" spans="2:7" x14ac:dyDescent="0.25">
      <c r="C228" s="56"/>
      <c r="D228" s="56"/>
      <c r="E228" s="56" t="s">
        <v>659</v>
      </c>
      <c r="F228" s="56"/>
      <c r="G228" s="56"/>
    </row>
    <row r="229" spans="2:7" x14ac:dyDescent="0.25">
      <c r="C229" s="56"/>
      <c r="D229" s="56"/>
      <c r="E229" s="56"/>
      <c r="F229" s="56"/>
      <c r="G229" s="56"/>
    </row>
    <row r="230" spans="2:7" x14ac:dyDescent="0.25">
      <c r="C230" s="56"/>
      <c r="D230" s="56" t="s">
        <v>660</v>
      </c>
      <c r="G230" s="56"/>
    </row>
    <row r="231" spans="2:7" x14ac:dyDescent="0.25">
      <c r="C231" s="56"/>
      <c r="D231" s="56" t="s">
        <v>661</v>
      </c>
      <c r="G231" s="56"/>
    </row>
    <row r="232" spans="2:7" x14ac:dyDescent="0.25">
      <c r="C232" s="56"/>
      <c r="D232" s="56"/>
      <c r="E232" s="56" t="s">
        <v>662</v>
      </c>
      <c r="G232" s="56"/>
    </row>
    <row r="233" spans="2:7" x14ac:dyDescent="0.25">
      <c r="E233" s="56" t="s">
        <v>663</v>
      </c>
    </row>
    <row r="234" spans="2:7" x14ac:dyDescent="0.25">
      <c r="E234" t="s">
        <v>739</v>
      </c>
    </row>
    <row r="235" spans="2:7" x14ac:dyDescent="0.25">
      <c r="B235" s="56" t="s">
        <v>664</v>
      </c>
    </row>
    <row r="236" spans="2:7" x14ac:dyDescent="0.25">
      <c r="B236" s="56" t="s">
        <v>665</v>
      </c>
      <c r="C236" s="56"/>
    </row>
    <row r="237" spans="2:7" x14ac:dyDescent="0.25">
      <c r="C237" s="56"/>
    </row>
    <row r="238" spans="2:7" x14ac:dyDescent="0.25">
      <c r="B238" s="499" t="s">
        <v>666</v>
      </c>
    </row>
    <row r="239" spans="2:7" x14ac:dyDescent="0.25">
      <c r="B239" s="56" t="s">
        <v>667</v>
      </c>
    </row>
    <row r="240" spans="2:7" x14ac:dyDescent="0.25">
      <c r="B240" s="56" t="s">
        <v>668</v>
      </c>
    </row>
    <row r="241" spans="2:14" x14ac:dyDescent="0.25">
      <c r="B241" s="56" t="s">
        <v>669</v>
      </c>
    </row>
    <row r="242" spans="2:14" x14ac:dyDescent="0.25">
      <c r="B242" s="56" t="s">
        <v>670</v>
      </c>
    </row>
    <row r="243" spans="2:14" x14ac:dyDescent="0.25">
      <c r="B243" s="56"/>
    </row>
    <row r="244" spans="2:14" x14ac:dyDescent="0.25">
      <c r="B244" s="548" t="s">
        <v>738</v>
      </c>
      <c r="C244" s="547"/>
      <c r="D244" s="547"/>
      <c r="E244" s="547"/>
      <c r="F244" s="547"/>
      <c r="G244" s="547"/>
      <c r="H244" s="547"/>
      <c r="I244" s="547"/>
      <c r="J244" s="547"/>
      <c r="K244" s="547"/>
      <c r="L244" s="547"/>
      <c r="M244" s="547"/>
      <c r="N244" s="547"/>
    </row>
    <row r="245" spans="2:14" x14ac:dyDescent="0.25">
      <c r="B245" s="548" t="s">
        <v>737</v>
      </c>
      <c r="C245" s="547"/>
      <c r="D245" s="547"/>
      <c r="E245" s="547"/>
      <c r="F245" s="547"/>
      <c r="G245" s="547"/>
      <c r="H245" s="547"/>
      <c r="I245" s="547"/>
      <c r="J245" s="547"/>
      <c r="K245" s="547"/>
      <c r="L245" s="547"/>
      <c r="M245" s="547"/>
      <c r="N245" s="547"/>
    </row>
    <row r="247" spans="2:14" x14ac:dyDescent="0.25">
      <c r="B247" t="s">
        <v>810</v>
      </c>
    </row>
  </sheetData>
  <mergeCells count="10">
    <mergeCell ref="B28:C36"/>
    <mergeCell ref="E28:F36"/>
    <mergeCell ref="H28:I36"/>
    <mergeCell ref="K28:L36"/>
    <mergeCell ref="J1:P1"/>
    <mergeCell ref="B7:C15"/>
    <mergeCell ref="I7:J15"/>
    <mergeCell ref="E26:F26"/>
    <mergeCell ref="H26:I26"/>
    <mergeCell ref="K26:L26"/>
  </mergeCells>
  <phoneticPr fontId="75"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36" zoomScale="125" zoomScaleNormal="130" workbookViewId="0">
      <selection activeCell="A145" sqref="A145"/>
    </sheetView>
  </sheetViews>
  <sheetFormatPr baseColWidth="10" defaultRowHeight="15" x14ac:dyDescent="0.2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113</v>
      </c>
    </row>
    <row r="2" spans="1:16" s="62" customFormat="1" ht="26.25" hidden="1" customHeight="1" x14ac:dyDescent="0.2">
      <c r="A2" s="67" t="s">
        <v>83</v>
      </c>
      <c r="B2" s="67" t="s">
        <v>114</v>
      </c>
      <c r="C2" s="67" t="s">
        <v>115</v>
      </c>
      <c r="D2" s="67" t="s">
        <v>116</v>
      </c>
      <c r="E2" s="67" t="s">
        <v>117</v>
      </c>
      <c r="F2" s="67"/>
      <c r="G2" s="67"/>
      <c r="H2" s="67"/>
      <c r="I2" s="67"/>
      <c r="J2" s="67"/>
      <c r="K2" s="67" t="s">
        <v>118</v>
      </c>
      <c r="L2" s="67" t="s">
        <v>119</v>
      </c>
      <c r="M2" s="67" t="s">
        <v>120</v>
      </c>
      <c r="N2" s="67" t="s">
        <v>121</v>
      </c>
      <c r="O2" s="67" t="s">
        <v>122</v>
      </c>
      <c r="P2" s="67" t="s">
        <v>123</v>
      </c>
    </row>
    <row r="3" spans="1:16" s="56" customFormat="1" ht="20.25" hidden="1" customHeight="1" x14ac:dyDescent="0.25">
      <c r="A3" s="63" t="s">
        <v>102</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124</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103</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125</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106</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104</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107</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108</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109</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105</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110</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111</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25"/>
    <row r="17" spans="1:18" ht="20.25" hidden="1" customHeight="1" x14ac:dyDescent="0.25"/>
    <row r="18" spans="1:18" ht="20.25" hidden="1" customHeight="1" x14ac:dyDescent="0.25">
      <c r="A18" t="s">
        <v>126</v>
      </c>
    </row>
    <row r="19" spans="1:18" s="56" customFormat="1" ht="20.25" hidden="1" customHeight="1" x14ac:dyDescent="0.25">
      <c r="A19" s="970" t="s">
        <v>127</v>
      </c>
      <c r="B19" s="970"/>
      <c r="C19" s="970"/>
      <c r="D19" s="970"/>
      <c r="E19" s="970"/>
      <c r="F19" s="970"/>
      <c r="G19" s="970"/>
      <c r="H19" s="970"/>
      <c r="I19" s="970"/>
      <c r="J19" s="970"/>
      <c r="K19" s="970"/>
      <c r="L19" s="970"/>
      <c r="M19" s="970"/>
      <c r="N19" s="1024"/>
      <c r="O19" s="1024"/>
      <c r="P19" s="1024"/>
      <c r="Q19" s="1024"/>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1028" t="s">
        <v>194</v>
      </c>
      <c r="C21" s="1028"/>
      <c r="D21" s="1028"/>
      <c r="E21" s="1028"/>
      <c r="F21" s="1028"/>
      <c r="G21" s="1028"/>
      <c r="H21" s="1028"/>
      <c r="I21" s="1028"/>
      <c r="J21" s="73"/>
      <c r="N21" s="1025"/>
      <c r="O21" s="1025"/>
      <c r="P21" s="1025"/>
      <c r="Q21" s="1025"/>
    </row>
    <row r="22" spans="1:18" s="56" customFormat="1" ht="20.25" hidden="1" customHeight="1" x14ac:dyDescent="0.25">
      <c r="A22" s="74" t="s">
        <v>128</v>
      </c>
      <c r="B22" s="74" t="s">
        <v>129</v>
      </c>
      <c r="C22" s="74" t="s">
        <v>130</v>
      </c>
      <c r="D22" s="74" t="s">
        <v>131</v>
      </c>
      <c r="E22" s="74" t="s">
        <v>132</v>
      </c>
      <c r="F22" s="74"/>
      <c r="G22" s="74"/>
      <c r="H22" s="74"/>
      <c r="I22" s="74"/>
      <c r="J22" s="74"/>
      <c r="K22" s="74" t="s">
        <v>133</v>
      </c>
      <c r="L22" s="74" t="s">
        <v>134</v>
      </c>
      <c r="M22" s="74" t="s">
        <v>135</v>
      </c>
      <c r="N22" s="74" t="s">
        <v>136</v>
      </c>
    </row>
    <row r="23" spans="1:18" s="76" customFormat="1" ht="20.25" hidden="1" customHeight="1" x14ac:dyDescent="0.2">
      <c r="A23" s="75" t="s">
        <v>83</v>
      </c>
      <c r="B23" s="75" t="s">
        <v>114</v>
      </c>
      <c r="C23" s="75" t="s">
        <v>115</v>
      </c>
      <c r="D23" s="75" t="s">
        <v>116</v>
      </c>
      <c r="E23" s="75" t="s">
        <v>117</v>
      </c>
      <c r="F23" s="75"/>
      <c r="G23" s="75"/>
      <c r="H23" s="75"/>
      <c r="I23" s="75"/>
      <c r="J23" s="75"/>
      <c r="K23" s="75" t="s">
        <v>137</v>
      </c>
      <c r="L23" s="75" t="s">
        <v>138</v>
      </c>
      <c r="M23" s="75" t="s">
        <v>122</v>
      </c>
      <c r="N23" s="75" t="s">
        <v>123</v>
      </c>
      <c r="R23" s="77"/>
    </row>
    <row r="24" spans="1:18" s="56" customFormat="1" ht="20.25" hidden="1" customHeight="1" x14ac:dyDescent="0.25">
      <c r="A24" s="78" t="s">
        <v>102</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124</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103</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125</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106</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104</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107</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108</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109</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105</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110</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111</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9" t="e">
        <v>#DIV/0!</v>
      </c>
      <c r="C36" s="420">
        <v>0</v>
      </c>
      <c r="D36" s="86"/>
      <c r="E36" s="86"/>
      <c r="F36" s="86"/>
      <c r="G36" s="86"/>
      <c r="H36" s="86"/>
      <c r="I36" s="86"/>
      <c r="J36" s="86"/>
      <c r="K36" s="86"/>
      <c r="L36" s="86"/>
      <c r="M36" s="87"/>
      <c r="N36" s="86"/>
      <c r="R36" s="82"/>
    </row>
    <row r="37" spans="1:33" s="56" customFormat="1" ht="20.25" customHeight="1" x14ac:dyDescent="0.25">
      <c r="A37" s="421"/>
      <c r="B37" s="421"/>
      <c r="C37" s="88"/>
      <c r="D37" s="88"/>
      <c r="E37" s="88"/>
      <c r="F37" s="88"/>
      <c r="G37" s="86"/>
      <c r="H37" s="86"/>
      <c r="I37" s="86"/>
      <c r="J37" s="86"/>
      <c r="K37" s="86"/>
      <c r="L37" s="86"/>
      <c r="M37" s="87"/>
      <c r="N37" s="86"/>
      <c r="R37" s="82"/>
    </row>
    <row r="38" spans="1:33" s="56" customFormat="1" ht="20.25" customHeight="1" x14ac:dyDescent="0.25">
      <c r="A38" s="422"/>
      <c r="B38" s="1030" t="s">
        <v>113</v>
      </c>
      <c r="C38" s="1031"/>
      <c r="D38" s="615" t="s">
        <v>822</v>
      </c>
      <c r="E38" s="1029" t="s">
        <v>192</v>
      </c>
      <c r="F38" s="1029"/>
      <c r="G38" s="1025"/>
      <c r="H38" s="1025"/>
      <c r="I38" s="1025"/>
      <c r="J38" s="1025"/>
      <c r="K38" s="1025"/>
      <c r="L38" s="86"/>
      <c r="M38" s="87"/>
      <c r="N38" s="86"/>
      <c r="R38" s="82"/>
    </row>
    <row r="39" spans="1:33" ht="30" customHeight="1" x14ac:dyDescent="0.25">
      <c r="A39" s="422"/>
      <c r="B39" s="423"/>
      <c r="D39" s="89" t="s">
        <v>97</v>
      </c>
      <c r="E39" s="89" t="s">
        <v>144</v>
      </c>
      <c r="F39" s="90" t="s">
        <v>145</v>
      </c>
      <c r="G39" s="171"/>
      <c r="H39" s="155"/>
      <c r="I39" s="155"/>
      <c r="J39" s="155"/>
      <c r="L39" s="168" t="s">
        <v>144</v>
      </c>
      <c r="M39" s="90" t="s">
        <v>145</v>
      </c>
      <c r="N39" s="89" t="s">
        <v>144</v>
      </c>
      <c r="O39" s="90" t="s">
        <v>145</v>
      </c>
      <c r="P39" s="89" t="s">
        <v>144</v>
      </c>
      <c r="Q39" s="90" t="s">
        <v>145</v>
      </c>
      <c r="R39" s="89" t="s">
        <v>144</v>
      </c>
      <c r="S39" s="90" t="s">
        <v>145</v>
      </c>
      <c r="T39" s="89" t="s">
        <v>144</v>
      </c>
      <c r="U39" s="90" t="s">
        <v>145</v>
      </c>
      <c r="V39" s="89" t="s">
        <v>144</v>
      </c>
      <c r="W39" s="90" t="s">
        <v>145</v>
      </c>
      <c r="X39" s="89" t="s">
        <v>144</v>
      </c>
      <c r="Y39" s="90" t="s">
        <v>145</v>
      </c>
      <c r="Z39" s="89" t="s">
        <v>144</v>
      </c>
      <c r="AA39" s="90" t="s">
        <v>145</v>
      </c>
      <c r="AB39" s="89" t="s">
        <v>144</v>
      </c>
      <c r="AC39" s="90" t="s">
        <v>145</v>
      </c>
      <c r="AD39" s="89" t="s">
        <v>144</v>
      </c>
      <c r="AE39" s="90" t="s">
        <v>145</v>
      </c>
      <c r="AF39" s="89" t="s">
        <v>144</v>
      </c>
      <c r="AG39" s="90" t="s">
        <v>145</v>
      </c>
    </row>
    <row r="40" spans="1:33" ht="20.25" customHeight="1" x14ac:dyDescent="0.25">
      <c r="A40" s="422"/>
      <c r="B40" s="1027" t="s">
        <v>40</v>
      </c>
      <c r="C40" s="932"/>
      <c r="D40" s="418">
        <f>'BP FORMAT JUILLET 2023'!D51</f>
        <v>6.9000000000000006E-2</v>
      </c>
      <c r="E40" s="92" t="e">
        <f>'BP FORMAT JUILLET 2023'!C51</f>
        <v>#REF!</v>
      </c>
      <c r="F40" s="93" t="e">
        <f>ROUND(E40*D40,2)</f>
        <v>#REF!</v>
      </c>
      <c r="G40" s="172"/>
      <c r="H40" s="156"/>
      <c r="I40" s="614"/>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25">
      <c r="A41" s="422"/>
      <c r="B41" s="1027" t="s">
        <v>41</v>
      </c>
      <c r="C41" s="932"/>
      <c r="D41" s="418">
        <f>'BP FORMAT JUILLET 2023'!D52</f>
        <v>4.0000000000000001E-3</v>
      </c>
      <c r="E41" s="92" t="e">
        <f>'BP FORMAT JUILLET 2023'!C52</f>
        <v>#REF!</v>
      </c>
      <c r="F41" s="93" t="e">
        <f t="shared" ref="F41:F47" si="14">ROUND(E41*D41,2)</f>
        <v>#REF!</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25">
      <c r="A42" s="422"/>
      <c r="B42" s="1027" t="s">
        <v>42</v>
      </c>
      <c r="C42" s="932"/>
      <c r="D42" s="418" t="e">
        <f>'BP FORMAT JUILLET 2023'!D53</f>
        <v>#REF!</v>
      </c>
      <c r="E42" s="92" t="e">
        <f>'BP FORMAT JUILLET 2023'!C53</f>
        <v>#REF!</v>
      </c>
      <c r="F42" s="93" t="e">
        <f t="shared" si="14"/>
        <v>#REF!</v>
      </c>
      <c r="G42" s="172"/>
      <c r="H42" s="156"/>
      <c r="I42" s="156"/>
      <c r="J42" s="156"/>
      <c r="L42" s="169">
        <f>L4</f>
        <v>0</v>
      </c>
      <c r="M42" s="93" t="e">
        <f t="shared" si="15"/>
        <v>#REF!</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25">
      <c r="A43" s="422"/>
      <c r="B43" s="1027" t="s">
        <v>43</v>
      </c>
      <c r="C43" s="932"/>
      <c r="D43" s="418" t="e">
        <f>'BP FORMAT JUILLET 2023'!D54</f>
        <v>#REF!</v>
      </c>
      <c r="E43" s="92" t="e">
        <f>'BP FORMAT JUILLET 2023'!C54</f>
        <v>#REF!</v>
      </c>
      <c r="F43" s="93" t="e">
        <f t="shared" si="14"/>
        <v>#REF!</v>
      </c>
      <c r="G43" s="172"/>
      <c r="H43" s="156"/>
      <c r="I43" s="156"/>
      <c r="J43" s="156"/>
      <c r="L43" s="169">
        <f>P4</f>
        <v>0</v>
      </c>
      <c r="M43" s="93" t="e">
        <f>ROUND(L43*D43/100,2)</f>
        <v>#REF!</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25">
      <c r="A44" s="422"/>
      <c r="B44" s="1027"/>
      <c r="C44" s="932"/>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25">
      <c r="A45" s="422"/>
      <c r="B45" s="1027"/>
      <c r="C45" s="932"/>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25">
      <c r="A46" s="422"/>
      <c r="B46" s="1027"/>
      <c r="C46" s="932"/>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25">
      <c r="A47" s="422"/>
      <c r="B47" s="1027"/>
      <c r="C47" s="932"/>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25">
      <c r="A48" s="422"/>
      <c r="B48" s="1027"/>
      <c r="C48" s="932"/>
      <c r="D48" s="370"/>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
      <c r="A49" s="422"/>
      <c r="B49" s="1026" t="s">
        <v>89</v>
      </c>
      <c r="C49" s="1026"/>
      <c r="D49" s="424"/>
      <c r="F49" s="137" t="e">
        <f>SUM(F40:F48)</f>
        <v>#REF!</v>
      </c>
      <c r="H49" s="157"/>
      <c r="I49" s="157"/>
      <c r="J49" s="157"/>
      <c r="L49" s="170"/>
      <c r="M49" s="101" t="e">
        <f>SUM(M40:M48)</f>
        <v>#REF!</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25">
      <c r="A50" s="422"/>
      <c r="B50" s="969" t="s">
        <v>193</v>
      </c>
      <c r="C50" s="969"/>
      <c r="D50" s="425"/>
      <c r="E50" s="426"/>
      <c r="F50" s="616" t="e">
        <f xml:space="preserve"> ROUND(IF(F49/E41&gt;0.1131,0.1131,F49/E41),4)</f>
        <v>#REF!</v>
      </c>
      <c r="G50" s="102"/>
      <c r="H50" s="102"/>
      <c r="I50" s="102"/>
      <c r="J50" s="102"/>
      <c r="L50" s="103"/>
      <c r="M50" s="103"/>
      <c r="N50" s="103"/>
      <c r="P50" s="102"/>
      <c r="R50" s="102"/>
    </row>
    <row r="51" spans="1:33" ht="20.25" customHeight="1" x14ac:dyDescent="0.25">
      <c r="B51" s="50"/>
      <c r="C51" s="50"/>
      <c r="E51" s="102"/>
      <c r="F51" s="102"/>
      <c r="G51" s="102"/>
      <c r="H51" s="102"/>
      <c r="I51" s="102"/>
      <c r="J51" s="102"/>
      <c r="L51" s="103"/>
      <c r="M51" s="103"/>
      <c r="N51" s="103"/>
      <c r="P51" s="102"/>
      <c r="R51" s="102"/>
    </row>
    <row r="52" spans="1:33" ht="20.25" customHeight="1" x14ac:dyDescent="0.25">
      <c r="B52" s="50"/>
      <c r="C52" s="50"/>
      <c r="E52" s="102"/>
      <c r="F52" s="102"/>
      <c r="G52" s="102"/>
      <c r="H52" s="102"/>
      <c r="I52" s="102"/>
      <c r="J52" s="102"/>
      <c r="L52" s="103"/>
      <c r="M52" s="103"/>
      <c r="N52" s="103"/>
      <c r="P52" s="102"/>
      <c r="R52" s="102"/>
    </row>
    <row r="53" spans="1:33" ht="20.25" customHeight="1" x14ac:dyDescent="0.25">
      <c r="B53" s="104"/>
      <c r="C53" s="104"/>
      <c r="D53" s="104"/>
      <c r="E53" s="104"/>
      <c r="F53" s="104"/>
      <c r="G53" s="104"/>
      <c r="H53" s="104"/>
      <c r="I53" s="104"/>
      <c r="J53" s="104"/>
      <c r="K53" s="104"/>
    </row>
    <row r="54" spans="1:33" ht="27.75" customHeight="1" x14ac:dyDescent="0.25">
      <c r="A54" s="617" t="s">
        <v>146</v>
      </c>
      <c r="B54" s="1020" t="s">
        <v>147</v>
      </c>
      <c r="C54" s="1020"/>
      <c r="D54" s="1020"/>
      <c r="E54" s="1020"/>
      <c r="F54" s="1020"/>
      <c r="G54" s="1020"/>
      <c r="H54" s="1020"/>
      <c r="O54" s="105"/>
      <c r="P54" s="105"/>
      <c r="Q54" s="105"/>
      <c r="R54" s="105"/>
      <c r="S54" s="105"/>
      <c r="T54" s="105"/>
    </row>
    <row r="55" spans="1:33" ht="20.25" customHeight="1" x14ac:dyDescent="0.25">
      <c r="A55" s="50"/>
      <c r="B55" s="50"/>
      <c r="C55" s="50"/>
      <c r="E55" s="50"/>
      <c r="F55" s="50"/>
      <c r="G55" s="50"/>
      <c r="H55" s="104"/>
      <c r="K55" s="106"/>
    </row>
    <row r="56" spans="1:33" s="107" customFormat="1" ht="48.75" customHeight="1" x14ac:dyDescent="0.2">
      <c r="A56" s="63" t="s">
        <v>304</v>
      </c>
      <c r="B56" s="63" t="s">
        <v>148</v>
      </c>
      <c r="C56" s="63" t="s">
        <v>824</v>
      </c>
      <c r="D56" s="63" t="s">
        <v>97</v>
      </c>
      <c r="E56" s="63" t="s">
        <v>823</v>
      </c>
      <c r="F56" s="63" t="s">
        <v>149</v>
      </c>
      <c r="G56" s="63" t="s">
        <v>396</v>
      </c>
      <c r="H56" s="109"/>
      <c r="I56" s="109"/>
      <c r="J56" s="109"/>
      <c r="N56" s="109"/>
      <c r="O56" s="109"/>
      <c r="P56" s="109"/>
      <c r="Q56" s="109"/>
      <c r="R56" s="109"/>
      <c r="S56" s="109"/>
      <c r="T56" s="109"/>
    </row>
    <row r="57" spans="1:33" s="107" customFormat="1" ht="33" customHeight="1" x14ac:dyDescent="0.2">
      <c r="A57" s="372"/>
      <c r="B57" s="374" t="e">
        <f>'BP FORMAT JUILLET 2023'!J21+'BP FORMAT JUILLET 2023'!J22+'BP FORMAT JUILLET 2023'!J20+'BP FORMAT JUILLET 2023'!J18+'BP FORMAT JUILLET 2023'!J19</f>
        <v>#REF!</v>
      </c>
      <c r="C57" s="139" t="e">
        <f>A57+B57</f>
        <v>#REF!</v>
      </c>
      <c r="D57" s="140" t="e">
        <f>ROUND(IF(F49/E41&gt;0.1131,0.1131,F49/E41),4)</f>
        <v>#REF!</v>
      </c>
      <c r="E57" s="373" t="e">
        <f>IF(A57&gt;8037,0,IF(C57&gt;8037,8037-A57,B57))</f>
        <v>#REF!</v>
      </c>
      <c r="F57" s="373" t="e">
        <f>ROUND(E57*D57,2)</f>
        <v>#REF!</v>
      </c>
      <c r="G57" s="373" t="e">
        <f>IF(C57&gt;8037,B57-E57,0)</f>
        <v>#REF!</v>
      </c>
      <c r="H57" s="109"/>
      <c r="I57" s="152"/>
      <c r="J57" s="152"/>
      <c r="N57" s="109"/>
      <c r="O57" s="109"/>
      <c r="P57" s="109"/>
      <c r="Q57" s="109"/>
      <c r="R57" s="109"/>
      <c r="S57" s="109"/>
      <c r="T57" s="109"/>
    </row>
    <row r="58" spans="1:33" ht="22.5" hidden="1" customHeight="1" x14ac:dyDescent="0.25">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25">
      <c r="A59" s="108" t="s">
        <v>150</v>
      </c>
      <c r="B59" s="98">
        <v>0</v>
      </c>
      <c r="C59" s="108" t="e">
        <f>B59+B57</f>
        <v>#REF!</v>
      </c>
      <c r="D59" s="110" t="e">
        <f>IF(M49/B25&gt;0.1131,0.1131,M49/B25)</f>
        <v>#REF!</v>
      </c>
      <c r="E59" s="111" t="e">
        <f>IF(C59&lt;5358,B59*D59,IF(C57&gt;5358,0,(5358-C57)*D59))</f>
        <v>#REF!</v>
      </c>
      <c r="F59" s="111"/>
      <c r="G59" s="151"/>
      <c r="H59" s="151"/>
      <c r="I59" s="151"/>
      <c r="J59" s="151"/>
      <c r="K59" s="112" t="e">
        <f>IF(C59&lt;5358,B59,IF(C57&gt;5358,0,5358-C57))</f>
        <v>#REF!</v>
      </c>
      <c r="L59" s="113"/>
      <c r="M59" s="114"/>
      <c r="N59" s="115"/>
      <c r="O59" s="109"/>
      <c r="P59" s="109"/>
      <c r="Q59" s="109"/>
      <c r="R59" s="113"/>
      <c r="S59" s="113"/>
      <c r="T59" s="113"/>
    </row>
    <row r="60" spans="1:33" ht="22.5" hidden="1" customHeight="1" x14ac:dyDescent="0.25">
      <c r="A60" s="108" t="s">
        <v>151</v>
      </c>
      <c r="B60" s="98" t="e">
        <f>+L91</f>
        <v>#DIV/0!</v>
      </c>
      <c r="C60" s="98" t="e">
        <f>C59+B60</f>
        <v>#REF!</v>
      </c>
      <c r="D60" s="110" t="e">
        <f>IF(O49/B26&lt;0.1131,O49/B26,0.1131)</f>
        <v>#DIV/0!</v>
      </c>
      <c r="E60" s="111" t="e">
        <f>IF(C60&lt;5358,B60*D60,IF(C59&gt;5358,0,(5358-C59)*D60))</f>
        <v>#REF!</v>
      </c>
      <c r="F60" s="111"/>
      <c r="G60" s="111"/>
      <c r="H60" s="111"/>
      <c r="I60" s="111"/>
      <c r="J60" s="111"/>
      <c r="K60" s="112" t="e">
        <f t="shared" ref="K60:K69" si="21">IF(C60&lt;5358,B60,IF(C59&gt;5358,0,5358-C59))</f>
        <v>#REF!</v>
      </c>
      <c r="L60" s="113"/>
      <c r="M60" s="114"/>
      <c r="N60" s="115"/>
      <c r="O60" s="116"/>
      <c r="P60" s="116"/>
      <c r="Q60" s="116"/>
      <c r="R60" s="116"/>
      <c r="S60" s="116"/>
      <c r="T60" s="116"/>
    </row>
    <row r="61" spans="1:33" ht="22.5" hidden="1" customHeight="1" x14ac:dyDescent="0.25">
      <c r="A61" s="108" t="s">
        <v>152</v>
      </c>
      <c r="B61" s="98" t="e">
        <f>+M91</f>
        <v>#DIV/0!</v>
      </c>
      <c r="C61" s="98" t="e">
        <f>C60+B61</f>
        <v>#REF!</v>
      </c>
      <c r="D61" s="110" t="e">
        <f>IF(Q49/B27&lt;0.1131,Q49/B27,0.1131)</f>
        <v>#DIV/0!</v>
      </c>
      <c r="E61" s="111" t="e">
        <f>IF(C61&lt;5358,B61*D61,IF(C60&gt;5358,0,(5358-C60)*D61))</f>
        <v>#REF!</v>
      </c>
      <c r="F61" s="111"/>
      <c r="G61" s="111"/>
      <c r="H61" s="111"/>
      <c r="I61" s="111"/>
      <c r="J61" s="111"/>
      <c r="K61" s="112" t="e">
        <f t="shared" si="21"/>
        <v>#REF!</v>
      </c>
      <c r="L61" s="113"/>
      <c r="M61" s="114"/>
      <c r="N61" s="115"/>
      <c r="O61" s="116"/>
      <c r="P61" s="116"/>
      <c r="Q61" s="116"/>
      <c r="R61" s="116"/>
      <c r="S61" s="116"/>
      <c r="T61" s="116"/>
      <c r="U61" s="2"/>
    </row>
    <row r="62" spans="1:33" ht="22.5" hidden="1" customHeight="1" x14ac:dyDescent="0.25">
      <c r="A62" s="108" t="s">
        <v>153</v>
      </c>
      <c r="B62" s="98" t="e">
        <f>+N91</f>
        <v>#DIV/0!</v>
      </c>
      <c r="C62" s="98" t="e">
        <f>C61+B62</f>
        <v>#REF!</v>
      </c>
      <c r="D62" s="110" t="e">
        <f>IF(S49/B28&lt;0.1131,S49/B28,0.1131)</f>
        <v>#DIV/0!</v>
      </c>
      <c r="E62" s="111" t="e">
        <f>IF(C62&lt;5358,B62*D62,IF(C61&gt;5358,0,(5358-C61)*D62))</f>
        <v>#REF!</v>
      </c>
      <c r="F62" s="111"/>
      <c r="G62" s="111"/>
      <c r="H62" s="111"/>
      <c r="I62" s="111"/>
      <c r="J62" s="111"/>
      <c r="K62" s="112" t="e">
        <f t="shared" si="21"/>
        <v>#REF!</v>
      </c>
      <c r="L62" s="113"/>
      <c r="M62" s="114"/>
      <c r="N62" s="115"/>
      <c r="O62" s="116"/>
      <c r="P62" s="116"/>
      <c r="Q62" s="116"/>
      <c r="R62" s="116"/>
      <c r="S62" s="116"/>
      <c r="T62" s="116"/>
      <c r="U62" s="2"/>
    </row>
    <row r="63" spans="1:33" ht="22.5" hidden="1" customHeight="1" x14ac:dyDescent="0.25">
      <c r="A63" s="108" t="s">
        <v>142</v>
      </c>
      <c r="B63" s="98" t="e">
        <f>+O91</f>
        <v>#DIV/0!</v>
      </c>
      <c r="C63" s="98" t="e">
        <f>C62+B63</f>
        <v>#REF!</v>
      </c>
      <c r="D63" s="110" t="e">
        <f>IF(U49/B29&lt;0.1131,U49/B29,0.1131)</f>
        <v>#DIV/0!</v>
      </c>
      <c r="E63" s="111" t="e">
        <f>IF(C63&lt;5358,B63*D63,IF(C62&gt;5358,0,(5358-C62)*D63))</f>
        <v>#REF!</v>
      </c>
      <c r="F63" s="111"/>
      <c r="G63" s="111"/>
      <c r="H63" s="111"/>
      <c r="I63" s="111"/>
      <c r="J63" s="111"/>
      <c r="K63" s="112" t="e">
        <f t="shared" si="21"/>
        <v>#REF!</v>
      </c>
      <c r="L63" s="113"/>
      <c r="M63" s="114"/>
      <c r="N63" s="115"/>
      <c r="O63" s="116"/>
      <c r="P63" s="116"/>
      <c r="Q63" s="116"/>
      <c r="R63" s="116"/>
      <c r="S63" s="116"/>
      <c r="T63" s="116"/>
      <c r="U63" s="2"/>
    </row>
    <row r="64" spans="1:33" ht="22.5" hidden="1" customHeight="1" x14ac:dyDescent="0.25">
      <c r="A64" s="108" t="s">
        <v>154</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25">
      <c r="A65" s="108" t="s">
        <v>155</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25">
      <c r="A66" s="108" t="s">
        <v>156</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25">
      <c r="A67" s="108" t="s">
        <v>157</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25">
      <c r="A68" s="108" t="s">
        <v>158</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25">
      <c r="A69" s="108" t="s">
        <v>159</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25">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25">
      <c r="A71" s="44"/>
      <c r="B71" s="2"/>
      <c r="C71" s="2"/>
      <c r="D71" s="55" t="e">
        <f>+IF(AE53/E16&gt;0.1131,0.1131,AE53/E16)</f>
        <v>#DIV/0!</v>
      </c>
      <c r="M71" s="123">
        <f t="shared" si="24"/>
        <v>0</v>
      </c>
      <c r="Q71" s="124"/>
      <c r="R71" s="122">
        <f t="shared" si="25"/>
        <v>0</v>
      </c>
    </row>
    <row r="72" spans="1:20" ht="22.5" hidden="1" customHeight="1" x14ac:dyDescent="0.25">
      <c r="A72" s="104"/>
      <c r="B72" s="2"/>
      <c r="C72" s="2"/>
      <c r="D72" s="55" t="e">
        <f>+IF(AE54/E17&gt;0.1131,0.1131,AE54/E17)</f>
        <v>#DIV/0!</v>
      </c>
      <c r="M72" s="123">
        <f t="shared" si="24"/>
        <v>0</v>
      </c>
      <c r="Q72" s="125"/>
      <c r="R72" s="122">
        <f t="shared" si="25"/>
        <v>0</v>
      </c>
    </row>
    <row r="73" spans="1:20" ht="22.5" hidden="1" customHeight="1" x14ac:dyDescent="0.25">
      <c r="A73" s="104"/>
      <c r="B73" s="2"/>
      <c r="C73" s="2"/>
      <c r="D73" s="55" t="e">
        <f>+IF(AE55/E18&gt;0.1131,0.1131,AE55/E18)</f>
        <v>#DIV/0!</v>
      </c>
      <c r="M73" s="123">
        <f t="shared" si="24"/>
        <v>0</v>
      </c>
      <c r="Q73" s="125"/>
      <c r="R73" s="122">
        <f t="shared" si="25"/>
        <v>0</v>
      </c>
    </row>
    <row r="74" spans="1:20" ht="22.5" hidden="1" customHeight="1" x14ac:dyDescent="0.25">
      <c r="A74" s="104"/>
      <c r="B74" s="2"/>
      <c r="C74" s="2"/>
      <c r="D74" s="55" t="e">
        <f>+IF(AE56/E19&gt;0.1131,0.1131,AE56/E19)</f>
        <v>#DIV/0!</v>
      </c>
      <c r="M74" s="123">
        <f t="shared" si="24"/>
        <v>0</v>
      </c>
      <c r="Q74" s="125"/>
      <c r="R74" s="122">
        <f t="shared" si="25"/>
        <v>0</v>
      </c>
    </row>
    <row r="75" spans="1:20" ht="22.5" hidden="1" customHeight="1" x14ac:dyDescent="0.25">
      <c r="A75" s="104"/>
      <c r="B75" s="2"/>
      <c r="C75" s="2"/>
      <c r="D75" s="55" t="e">
        <f t="shared" ref="D75:D80" si="26">+IF(AE58/E21&gt;0.1131,0.1131,AE58/E21)</f>
        <v>#DIV/0!</v>
      </c>
      <c r="M75" s="123">
        <f t="shared" si="24"/>
        <v>0</v>
      </c>
      <c r="Q75" s="125"/>
      <c r="R75" s="122">
        <f t="shared" si="25"/>
        <v>0</v>
      </c>
    </row>
    <row r="76" spans="1:20" ht="22.5" hidden="1" customHeight="1" x14ac:dyDescent="0.25">
      <c r="A76" s="104"/>
      <c r="B76" s="2"/>
      <c r="C76" s="2"/>
      <c r="D76" s="55" t="e">
        <f t="shared" si="26"/>
        <v>#VALUE!</v>
      </c>
      <c r="M76" s="123">
        <f t="shared" si="24"/>
        <v>0</v>
      </c>
      <c r="Q76" s="125"/>
      <c r="R76" s="122">
        <f t="shared" si="25"/>
        <v>0</v>
      </c>
    </row>
    <row r="77" spans="1:20" ht="22.5" hidden="1" customHeight="1" x14ac:dyDescent="0.25">
      <c r="A77" s="104"/>
      <c r="B77" s="2"/>
      <c r="C77" s="2"/>
      <c r="D77" s="55" t="e">
        <f t="shared" si="26"/>
        <v>#VALUE!</v>
      </c>
      <c r="M77" s="123">
        <f t="shared" si="24"/>
        <v>0</v>
      </c>
      <c r="Q77" s="125"/>
      <c r="R77" s="122">
        <f t="shared" si="25"/>
        <v>0</v>
      </c>
    </row>
    <row r="78" spans="1:20" ht="22.5" hidden="1" customHeight="1" x14ac:dyDescent="0.25">
      <c r="A78" s="104"/>
      <c r="B78" s="2"/>
      <c r="C78" s="2"/>
      <c r="D78" s="55">
        <f t="shared" si="26"/>
        <v>0</v>
      </c>
      <c r="M78" s="123">
        <f t="shared" si="24"/>
        <v>0</v>
      </c>
      <c r="Q78" s="125"/>
      <c r="R78" s="122">
        <f t="shared" si="25"/>
        <v>0</v>
      </c>
    </row>
    <row r="79" spans="1:20" ht="22.5" hidden="1" customHeight="1" x14ac:dyDescent="0.25">
      <c r="A79" s="104"/>
      <c r="B79" s="2"/>
      <c r="C79" s="2"/>
      <c r="D79" s="55">
        <f t="shared" si="26"/>
        <v>0</v>
      </c>
      <c r="M79" s="123">
        <f t="shared" si="24"/>
        <v>0</v>
      </c>
      <c r="Q79" s="125"/>
      <c r="R79" s="122">
        <f t="shared" si="25"/>
        <v>0</v>
      </c>
    </row>
    <row r="80" spans="1:20" ht="22.5" hidden="1" customHeight="1" x14ac:dyDescent="0.25">
      <c r="A80" s="104"/>
      <c r="D80" s="55" t="e">
        <f t="shared" si="26"/>
        <v>#DIV/0!</v>
      </c>
      <c r="M80" s="123">
        <f t="shared" si="24"/>
        <v>0</v>
      </c>
      <c r="R80" s="122">
        <f t="shared" si="25"/>
        <v>0</v>
      </c>
    </row>
    <row r="81" spans="1:21" ht="20.25" customHeight="1" x14ac:dyDescent="0.25">
      <c r="A81" s="104"/>
      <c r="M81" s="126"/>
      <c r="R81" s="127"/>
    </row>
    <row r="82" spans="1:21" ht="20.25" customHeight="1" x14ac:dyDescent="0.25">
      <c r="A82" s="104"/>
      <c r="E82" s="152"/>
      <c r="G82" s="152"/>
      <c r="M82" s="126"/>
      <c r="R82" s="127"/>
    </row>
    <row r="83" spans="1:21" ht="20.25" customHeight="1" x14ac:dyDescent="0.25">
      <c r="A83" s="104"/>
      <c r="E83" s="147"/>
    </row>
    <row r="84" spans="1:21" ht="27" customHeight="1" x14ac:dyDescent="0.25">
      <c r="A84" s="1033" t="s">
        <v>825</v>
      </c>
      <c r="B84" s="1033"/>
      <c r="C84" s="1033"/>
      <c r="D84" s="1033"/>
      <c r="E84" s="1033"/>
      <c r="F84" s="618"/>
      <c r="G84" s="105"/>
      <c r="H84" s="105"/>
      <c r="I84" s="105"/>
      <c r="J84" s="105"/>
      <c r="K84" s="105"/>
      <c r="L84" s="141" t="s">
        <v>151</v>
      </c>
      <c r="M84" s="128" t="s">
        <v>152</v>
      </c>
      <c r="N84" s="128" t="s">
        <v>141</v>
      </c>
      <c r="O84" s="128" t="s">
        <v>142</v>
      </c>
      <c r="P84" s="128" t="s">
        <v>143</v>
      </c>
      <c r="Q84" s="128" t="s">
        <v>155</v>
      </c>
      <c r="R84" s="128" t="s">
        <v>156</v>
      </c>
      <c r="S84" s="128" t="s">
        <v>157</v>
      </c>
      <c r="T84" s="128" t="s">
        <v>158</v>
      </c>
      <c r="U84" s="128" t="s">
        <v>159</v>
      </c>
    </row>
    <row r="85" spans="1:21" ht="20.25" customHeight="1" x14ac:dyDescent="0.25">
      <c r="A85" s="1032" t="s">
        <v>160</v>
      </c>
      <c r="B85" s="1032"/>
      <c r="C85" s="1032"/>
      <c r="D85" s="1032"/>
      <c r="E85" s="373" t="e">
        <f>'BP FORMAT JUILLET 2023'!J33-'BP FORMAT JUILLET 2023'!J22-'BP FORMAT JUILLET 2023'!J21-'BP FORMAT JUILLET 2023'!J20-'BP FORMAT JUILLET 2023'!J19-'BP FORMAT JUILLET 2023'!J18-'BP FORMAT JUILLET 2023'!J14-'BP FORMAT JUILLET 2023'!J17</f>
        <v>#REF!</v>
      </c>
      <c r="F85" s="619"/>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25">
      <c r="A86" s="1032" t="s">
        <v>382</v>
      </c>
      <c r="B86" s="1032"/>
      <c r="C86" s="1032"/>
      <c r="D86" s="1032"/>
      <c r="E86" s="373" t="e">
        <f>G57</f>
        <v>#REF!</v>
      </c>
      <c r="F86" s="619"/>
      <c r="G86" s="143"/>
      <c r="H86" s="143"/>
      <c r="I86" s="143"/>
      <c r="J86" s="143"/>
      <c r="K86" s="143"/>
      <c r="L86" s="142"/>
      <c r="M86" s="129"/>
      <c r="N86" s="129"/>
      <c r="O86" s="117"/>
      <c r="P86" s="117"/>
      <c r="Q86" s="117"/>
      <c r="R86" s="117"/>
      <c r="S86" s="117"/>
      <c r="T86" s="117"/>
      <c r="U86" s="117"/>
    </row>
    <row r="87" spans="1:21" ht="20.25" customHeight="1" x14ac:dyDescent="0.25">
      <c r="A87" s="1034" t="s">
        <v>383</v>
      </c>
      <c r="B87" s="1034"/>
      <c r="C87" s="1034"/>
      <c r="D87" s="1034"/>
      <c r="E87" s="373" t="e">
        <f>E85+E86</f>
        <v>#REF!</v>
      </c>
      <c r="F87" s="619"/>
      <c r="G87" s="143"/>
      <c r="H87" s="143"/>
      <c r="I87" s="143"/>
      <c r="J87" s="143"/>
      <c r="K87" s="143"/>
      <c r="L87" s="142"/>
      <c r="M87" s="129"/>
      <c r="N87" s="129"/>
      <c r="O87" s="117"/>
      <c r="P87" s="117"/>
      <c r="Q87" s="117"/>
      <c r="R87" s="117"/>
      <c r="S87" s="117"/>
      <c r="T87" s="117"/>
      <c r="U87" s="117"/>
    </row>
    <row r="88" spans="1:21" ht="20.25" customHeight="1" x14ac:dyDescent="0.25">
      <c r="A88" s="1032" t="s">
        <v>19</v>
      </c>
      <c r="B88" s="1032"/>
      <c r="C88" s="1032"/>
      <c r="D88" s="1032"/>
      <c r="E88" s="373">
        <f>+'BP FORMAT JUILLET 2023'!J17</f>
        <v>0</v>
      </c>
      <c r="F88" s="619"/>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25">
      <c r="A89" s="1032" t="s">
        <v>397</v>
      </c>
      <c r="B89" s="1032"/>
      <c r="C89" s="1032"/>
      <c r="D89" s="1032"/>
      <c r="E89" s="373">
        <f>+'BP FORMAT JUILLET 2023'!J14</f>
        <v>0</v>
      </c>
      <c r="F89" s="619"/>
      <c r="G89" s="143"/>
      <c r="H89" s="143"/>
      <c r="I89" s="143"/>
      <c r="J89" s="143"/>
      <c r="K89" s="143"/>
      <c r="L89" s="142"/>
      <c r="M89" s="129"/>
      <c r="N89" s="129"/>
      <c r="O89" s="117"/>
      <c r="P89" s="117"/>
      <c r="Q89" s="117"/>
      <c r="R89" s="117"/>
      <c r="S89" s="117"/>
      <c r="T89" s="117"/>
      <c r="U89" s="117"/>
    </row>
    <row r="90" spans="1:21" ht="20.25" customHeight="1" x14ac:dyDescent="0.25">
      <c r="A90" s="1032" t="s">
        <v>303</v>
      </c>
      <c r="B90" s="1032"/>
      <c r="C90" s="1032"/>
      <c r="D90" s="1032"/>
      <c r="E90" s="373">
        <f>E88+E89</f>
        <v>0</v>
      </c>
      <c r="F90" s="619"/>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25">
      <c r="A91" s="1032" t="s">
        <v>161</v>
      </c>
      <c r="B91" s="1032"/>
      <c r="C91" s="1032"/>
      <c r="D91" s="1032"/>
      <c r="E91" s="373" t="e">
        <f>E57</f>
        <v>#REF!</v>
      </c>
      <c r="F91" s="619"/>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25">
      <c r="A92" s="1032" t="s">
        <v>399</v>
      </c>
      <c r="B92" s="1032"/>
      <c r="C92" s="1032"/>
      <c r="D92" s="1032"/>
      <c r="E92" s="373" t="e">
        <f>'BP FORMAT JUILLET 2023'!F65</f>
        <v>#REF!</v>
      </c>
      <c r="F92" s="619"/>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25">
      <c r="A93" s="1032" t="s">
        <v>162</v>
      </c>
      <c r="B93" s="1032"/>
      <c r="C93" s="1032"/>
      <c r="D93" s="1032"/>
      <c r="E93" s="373" t="e">
        <f>'BP FORMAT JUILLET 2023'!F66</f>
        <v>#REF!</v>
      </c>
      <c r="F93" s="619"/>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25">
      <c r="A94" s="1032" t="s">
        <v>163</v>
      </c>
      <c r="B94" s="1032"/>
      <c r="C94" s="1032"/>
      <c r="D94" s="1032"/>
      <c r="E94" s="373" t="e">
        <f>'BP FORMAT JUILLET 2023'!F67</f>
        <v>#REF!</v>
      </c>
      <c r="F94" s="619"/>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25">
      <c r="A95" s="1032" t="s">
        <v>164</v>
      </c>
      <c r="B95" s="1032"/>
      <c r="C95" s="1032"/>
      <c r="D95" s="1032"/>
      <c r="E95" s="373" t="e">
        <f>'BP FORMAT JUILLET 2023'!F68</f>
        <v>#REF!</v>
      </c>
      <c r="F95" s="619"/>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25">
      <c r="A96" s="1032" t="s">
        <v>165</v>
      </c>
      <c r="B96" s="1032"/>
      <c r="C96" s="1032"/>
      <c r="D96" s="1032"/>
      <c r="E96" s="373" t="e">
        <f>'BP FORMAT JUILLET 2023'!F69</f>
        <v>#REF!</v>
      </c>
      <c r="F96" s="619"/>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25">
      <c r="A97" s="1032" t="s">
        <v>166</v>
      </c>
      <c r="B97" s="1032"/>
      <c r="C97" s="1032"/>
      <c r="D97" s="1032"/>
      <c r="E97" s="373" t="e">
        <f>'BP FORMAT JUILLET 2023'!F72+'BP FORMAT JUILLET 2023'!F75+'BP FORMAT JUILLET 2023'!F77+'BP FORMAT JUILLET 2023'!F74+'BP FORMAT JUILLET 2023'!F44</f>
        <v>#REF!</v>
      </c>
      <c r="F97" s="619"/>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25">
      <c r="A98" s="1032" t="s">
        <v>167</v>
      </c>
      <c r="B98" s="1032"/>
      <c r="C98" s="1032"/>
      <c r="D98" s="1032"/>
      <c r="E98" s="373" t="e">
        <f>'BP FORMAT JUILLET 2023'!G40+'BP FORMAT JUILLET 2023'!G43</f>
        <v>#REF!</v>
      </c>
      <c r="F98" s="619"/>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25">
      <c r="A99" s="1032" t="s">
        <v>393</v>
      </c>
      <c r="B99" s="1032"/>
      <c r="C99" s="1032"/>
      <c r="D99" s="1032"/>
      <c r="E99" s="620" t="e">
        <f>'BP FORMAT JUILLET 2023'!G75+'BP FORMAT JUILLET 2023'!G77+'BP FORMAT JUILLET 2023'!G44+'BP FORMAT JUILLET 2023'!G74</f>
        <v>#REF!</v>
      </c>
      <c r="F99" s="619"/>
      <c r="G99" s="50"/>
      <c r="H99" s="50"/>
      <c r="I99" s="50"/>
      <c r="J99" s="50"/>
      <c r="K99" s="50"/>
      <c r="L99" s="50"/>
    </row>
    <row r="100" spans="1:21" ht="24" customHeight="1" x14ac:dyDescent="0.25">
      <c r="A100" s="1032" t="s">
        <v>221</v>
      </c>
      <c r="B100" s="1032"/>
      <c r="C100" s="1032"/>
      <c r="D100" s="1032"/>
      <c r="E100" s="621" t="e">
        <f>E85+E86+E88+E93+E94+E96-E97+E98+E104</f>
        <v>#REF!</v>
      </c>
      <c r="F100" s="50"/>
      <c r="G100" s="50"/>
      <c r="H100" s="50"/>
      <c r="I100" s="50"/>
      <c r="J100" s="50"/>
      <c r="K100" s="50"/>
      <c r="L100" s="50"/>
    </row>
    <row r="101" spans="1:21" ht="20.25" customHeight="1" x14ac:dyDescent="0.25">
      <c r="C101" s="50"/>
      <c r="E101" s="50"/>
      <c r="F101" s="50"/>
      <c r="G101" s="50"/>
      <c r="H101" s="50"/>
      <c r="I101" s="50"/>
      <c r="J101" s="50"/>
      <c r="K101" s="50"/>
      <c r="L101" s="50"/>
    </row>
    <row r="102" spans="1:21" ht="20.25" customHeight="1" x14ac:dyDescent="0.25">
      <c r="C102" s="50"/>
      <c r="E102" s="50"/>
      <c r="F102" s="50"/>
      <c r="G102" s="50"/>
      <c r="H102" s="50"/>
      <c r="I102" s="50"/>
      <c r="J102" s="50"/>
      <c r="K102" s="50"/>
      <c r="L102" s="50"/>
    </row>
    <row r="103" spans="1:21" ht="20.25" customHeight="1" x14ac:dyDescent="0.25">
      <c r="A103" s="1035"/>
      <c r="B103" s="1035"/>
      <c r="C103" s="1035"/>
      <c r="D103" s="1035"/>
      <c r="E103" s="622"/>
      <c r="F103" s="622"/>
      <c r="G103" s="622"/>
      <c r="H103" s="622"/>
      <c r="I103" s="622"/>
      <c r="J103" s="622"/>
      <c r="K103" s="622"/>
      <c r="L103" s="623"/>
      <c r="M103" s="130"/>
      <c r="N103" s="130"/>
      <c r="O103" s="130"/>
      <c r="P103" s="130"/>
      <c r="Q103" s="130"/>
      <c r="R103" s="130"/>
      <c r="S103" s="130"/>
      <c r="T103" s="130"/>
      <c r="U103" s="130"/>
    </row>
    <row r="104" spans="1:21" ht="20.25" customHeight="1" x14ac:dyDescent="0.25">
      <c r="A104" s="970" t="s">
        <v>191</v>
      </c>
      <c r="B104" s="970"/>
      <c r="C104" s="970"/>
      <c r="D104" s="970"/>
      <c r="E104" s="150"/>
      <c r="F104" s="622"/>
      <c r="G104" s="622"/>
      <c r="H104" s="622"/>
      <c r="I104" s="622"/>
      <c r="J104" s="622"/>
      <c r="K104" s="622"/>
      <c r="L104" s="623"/>
      <c r="M104" s="130"/>
      <c r="N104" s="130"/>
      <c r="O104" s="130"/>
      <c r="P104" s="130"/>
      <c r="Q104" s="130"/>
      <c r="R104" s="130"/>
      <c r="S104" s="130"/>
      <c r="T104" s="130"/>
      <c r="U104" s="130"/>
    </row>
    <row r="105" spans="1:21" ht="20.25" customHeight="1" x14ac:dyDescent="0.25">
      <c r="A105" s="1035"/>
      <c r="B105" s="1035"/>
      <c r="C105" s="1035"/>
      <c r="D105" s="1035"/>
      <c r="E105" s="622"/>
      <c r="F105" s="622"/>
      <c r="G105" s="622"/>
      <c r="H105" s="622"/>
      <c r="I105" s="622"/>
      <c r="J105" s="622"/>
      <c r="K105" s="622">
        <f t="shared" ref="K105:U105" si="28">K85-K97+K98+K93+K96+K94+K88+K103</f>
        <v>0</v>
      </c>
      <c r="L105" s="624"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25">
      <c r="E107" s="149" t="s">
        <v>196</v>
      </c>
      <c r="F107" s="149"/>
      <c r="G107" s="147"/>
      <c r="H107" s="147"/>
      <c r="I107" s="147"/>
      <c r="J107" s="147"/>
      <c r="K107" s="147"/>
      <c r="L107" s="144" t="s">
        <v>151</v>
      </c>
      <c r="M107" s="132" t="s">
        <v>152</v>
      </c>
      <c r="N107" s="132" t="s">
        <v>141</v>
      </c>
      <c r="O107" s="132" t="s">
        <v>142</v>
      </c>
      <c r="P107" s="132" t="s">
        <v>154</v>
      </c>
      <c r="Q107" s="132" t="s">
        <v>155</v>
      </c>
      <c r="R107" s="132" t="s">
        <v>156</v>
      </c>
      <c r="S107" s="132" t="s">
        <v>157</v>
      </c>
      <c r="T107" s="132" t="s">
        <v>158</v>
      </c>
      <c r="U107" s="132" t="s">
        <v>159</v>
      </c>
    </row>
    <row r="108" spans="1:21" ht="20.25" customHeight="1" x14ac:dyDescent="0.25">
      <c r="A108" s="970" t="s">
        <v>168</v>
      </c>
      <c r="B108" s="970"/>
      <c r="C108" s="970"/>
      <c r="D108" s="970"/>
      <c r="E108" s="133" t="e">
        <f>C57</f>
        <v>#REF!</v>
      </c>
      <c r="F108" s="133"/>
      <c r="G108" s="148"/>
      <c r="H108" s="148"/>
      <c r="I108" s="148"/>
      <c r="J108" s="148"/>
      <c r="K108" s="100"/>
      <c r="L108" s="145" t="e">
        <f>C60</f>
        <v>#REF!</v>
      </c>
      <c r="M108" s="133" t="e">
        <f>C61</f>
        <v>#REF!</v>
      </c>
      <c r="N108" s="133" t="e">
        <f>C62</f>
        <v>#REF!</v>
      </c>
      <c r="O108" s="133" t="e">
        <f>C63</f>
        <v>#REF!</v>
      </c>
      <c r="P108" s="133" t="e">
        <f>C64</f>
        <v>#DIV/0!</v>
      </c>
      <c r="Q108" s="135" t="e">
        <f>C65</f>
        <v>#DIV/0!</v>
      </c>
      <c r="R108" s="135" t="e">
        <f>C66</f>
        <v>#DIV/0!</v>
      </c>
      <c r="S108" s="135" t="e">
        <f>+C67</f>
        <v>#DIV/0!</v>
      </c>
      <c r="T108" s="135" t="e">
        <f>C68</f>
        <v>#DIV/0!</v>
      </c>
      <c r="U108" s="135" t="e">
        <f>C69</f>
        <v>#DIV/0!</v>
      </c>
    </row>
    <row r="109" spans="1:21" ht="20.25" customHeight="1" x14ac:dyDescent="0.25">
      <c r="A109" s="970" t="s">
        <v>169</v>
      </c>
      <c r="B109" s="970"/>
      <c r="C109" s="970"/>
      <c r="D109" s="970"/>
      <c r="E109" s="133" t="e">
        <f>E108</f>
        <v>#REF!</v>
      </c>
      <c r="F109" s="133"/>
      <c r="G109" s="148"/>
      <c r="H109" s="148"/>
      <c r="I109" s="148"/>
      <c r="J109" s="148"/>
      <c r="K109" s="148"/>
      <c r="L109" s="145" t="e">
        <f t="shared" ref="L109:U109" si="29">L108-K108</f>
        <v>#REF!</v>
      </c>
      <c r="M109" s="133" t="e">
        <f t="shared" si="29"/>
        <v>#REF!</v>
      </c>
      <c r="N109" s="133" t="e">
        <f t="shared" si="29"/>
        <v>#REF!</v>
      </c>
      <c r="O109" s="133" t="e">
        <f t="shared" si="29"/>
        <v>#REF!</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25">
      <c r="A110" s="970" t="s">
        <v>218</v>
      </c>
      <c r="B110" s="970"/>
      <c r="C110" s="970"/>
      <c r="D110" s="970"/>
      <c r="E110" s="134" t="e">
        <f>IF(E108&lt;8037,0,E108-8037)</f>
        <v>#REF!</v>
      </c>
      <c r="F110" s="134"/>
      <c r="G110" s="100"/>
      <c r="H110" s="100"/>
      <c r="I110" s="100"/>
      <c r="J110" s="100"/>
      <c r="K110" s="100"/>
      <c r="L110" s="146" t="e">
        <f t="shared" ref="L110:U110" si="30">IF(L108&lt;5358,0,L108-5358)</f>
        <v>#REF!</v>
      </c>
      <c r="M110" s="134" t="e">
        <f t="shared" si="30"/>
        <v>#REF!</v>
      </c>
      <c r="N110" s="134" t="e">
        <f t="shared" si="30"/>
        <v>#REF!</v>
      </c>
      <c r="O110" s="134" t="e">
        <f t="shared" si="30"/>
        <v>#REF!</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25">
      <c r="A111" s="970" t="s">
        <v>219</v>
      </c>
      <c r="B111" s="970"/>
      <c r="C111" s="970"/>
      <c r="D111" s="970"/>
      <c r="E111" s="134" t="e">
        <f>E110</f>
        <v>#REF!</v>
      </c>
      <c r="F111" s="134"/>
      <c r="G111" s="100"/>
      <c r="H111" s="100"/>
      <c r="I111" s="100"/>
      <c r="J111" s="100"/>
      <c r="K111" s="100"/>
      <c r="L111" s="146" t="e">
        <f t="shared" ref="L111:U111" si="31">L110-K110</f>
        <v>#REF!</v>
      </c>
      <c r="M111" s="134" t="e">
        <f t="shared" si="31"/>
        <v>#REF!</v>
      </c>
      <c r="N111" s="134" t="e">
        <f t="shared" si="31"/>
        <v>#REF!</v>
      </c>
      <c r="O111" s="134" t="e">
        <f t="shared" si="31"/>
        <v>#REF!</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25">
      <c r="E113" s="136" t="s">
        <v>139</v>
      </c>
      <c r="F113" s="136"/>
      <c r="G113" s="136"/>
      <c r="H113" s="136"/>
      <c r="I113" s="136"/>
      <c r="J113" s="136"/>
      <c r="K113" s="136" t="s">
        <v>140</v>
      </c>
      <c r="L113" s="136" t="s">
        <v>151</v>
      </c>
      <c r="M113" s="136" t="s">
        <v>152</v>
      </c>
      <c r="N113" s="136" t="s">
        <v>141</v>
      </c>
      <c r="O113" s="136" t="s">
        <v>142</v>
      </c>
      <c r="P113" s="136" t="s">
        <v>154</v>
      </c>
      <c r="Q113" s="136" t="s">
        <v>155</v>
      </c>
      <c r="R113" s="136" t="s">
        <v>156</v>
      </c>
      <c r="S113" s="136" t="s">
        <v>157</v>
      </c>
      <c r="T113" s="136" t="s">
        <v>158</v>
      </c>
      <c r="U113" s="136" t="s">
        <v>159</v>
      </c>
    </row>
    <row r="114" spans="1:21" ht="0.75" hidden="1" customHeight="1" x14ac:dyDescent="0.25">
      <c r="A114" s="1016" t="s">
        <v>170</v>
      </c>
      <c r="B114" s="1016"/>
      <c r="C114" s="1016"/>
      <c r="D114" s="1016"/>
      <c r="E114" s="131" t="e">
        <f t="shared" ref="E114:U114" si="32">E85+E88</f>
        <v>#REF!</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25">
      <c r="A115" s="1016" t="s">
        <v>171</v>
      </c>
      <c r="B115" s="1016"/>
      <c r="C115" s="1016"/>
      <c r="D115" s="1016"/>
      <c r="E115" s="131" t="e">
        <f>E91</f>
        <v>#REF!</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25">
      <c r="A116" s="1016" t="s">
        <v>172</v>
      </c>
      <c r="B116" s="1016"/>
      <c r="C116" s="1016"/>
      <c r="D116" s="1016"/>
      <c r="E116" s="131" t="e">
        <f>E114+E115</f>
        <v>#REF!</v>
      </c>
      <c r="F116" s="131"/>
      <c r="G116" s="131"/>
      <c r="H116" s="131"/>
      <c r="I116" s="131"/>
      <c r="J116" s="131"/>
      <c r="K116" s="131" t="e">
        <f>K115+K114+E116</f>
        <v>#REF!</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25">
      <c r="A117" s="1016" t="s">
        <v>173</v>
      </c>
      <c r="B117" s="1016"/>
      <c r="C117" s="1016"/>
      <c r="D117" s="1016"/>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25">
      <c r="A118" s="1016" t="s">
        <v>174</v>
      </c>
      <c r="B118" s="1016"/>
      <c r="C118" s="1016"/>
      <c r="D118" s="1016"/>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25">
      <c r="A119" s="1021" t="s">
        <v>175</v>
      </c>
      <c r="B119" s="1022"/>
      <c r="C119" s="1022"/>
      <c r="D119" s="1023"/>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25">
      <c r="A120" s="1016" t="s">
        <v>176</v>
      </c>
      <c r="B120" s="1016"/>
      <c r="C120" s="1016"/>
      <c r="D120" s="1016"/>
      <c r="E120" s="97" t="e">
        <f t="shared" ref="E120:U120" si="36">IF(E114&lt;=E118,E114*0.9825+E119,E118*0.9825+E114-E118+E119)</f>
        <v>#REF!</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25">
      <c r="A121" s="1016" t="s">
        <v>177</v>
      </c>
      <c r="B121" s="1016"/>
      <c r="C121" s="1016"/>
      <c r="D121" s="1016"/>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625">
        <v>13000</v>
      </c>
      <c r="D124" s="55">
        <v>1000</v>
      </c>
    </row>
    <row r="125" spans="1:21" x14ac:dyDescent="0.25">
      <c r="B125" s="4" t="s">
        <v>395</v>
      </c>
      <c r="C125" s="481">
        <f>'BP FORMAT JUILLET 2023'!C33</f>
        <v>3925</v>
      </c>
    </row>
    <row r="126" spans="1:21" x14ac:dyDescent="0.25">
      <c r="I126" s="10"/>
    </row>
    <row r="127" spans="1:21" ht="25.9" customHeight="1" x14ac:dyDescent="0.25">
      <c r="A127" s="1020" t="s">
        <v>180</v>
      </c>
      <c r="B127" s="1020"/>
      <c r="C127" s="1020"/>
      <c r="D127" s="1020"/>
      <c r="E127" s="1020"/>
      <c r="F127" s="1020"/>
    </row>
    <row r="129" spans="1:11" s="56" customFormat="1" x14ac:dyDescent="0.25">
      <c r="A129">
        <v>3</v>
      </c>
      <c r="B129" s="974" t="s">
        <v>183</v>
      </c>
      <c r="C129" s="976"/>
      <c r="D129" s="433">
        <f>4*C125</f>
        <v>15700</v>
      </c>
      <c r="F129" s="60"/>
      <c r="G129" s="60"/>
      <c r="H129" s="431"/>
    </row>
    <row r="130" spans="1:11" s="56" customFormat="1" x14ac:dyDescent="0.25">
      <c r="A130">
        <v>4</v>
      </c>
      <c r="B130" s="927" t="s">
        <v>181</v>
      </c>
      <c r="C130" s="929"/>
      <c r="D130" s="433" t="e">
        <f>'ENONCE '!#REF!</f>
        <v>#REF!</v>
      </c>
      <c r="E130" s="428"/>
      <c r="F130" s="429"/>
      <c r="G130" s="60"/>
      <c r="K130" s="158"/>
    </row>
    <row r="131" spans="1:11" s="56" customFormat="1" x14ac:dyDescent="0.25">
      <c r="A131">
        <v>5</v>
      </c>
      <c r="B131" s="927" t="s">
        <v>182</v>
      </c>
      <c r="C131" s="929"/>
      <c r="D131" s="433" t="e">
        <f>'ENONCE '!#REF!</f>
        <v>#REF!</v>
      </c>
      <c r="E131" s="428"/>
      <c r="F131" s="429"/>
      <c r="G131" s="431"/>
      <c r="H131" s="60"/>
      <c r="K131" s="158"/>
    </row>
    <row r="132" spans="1:11" s="56" customFormat="1" x14ac:dyDescent="0.25">
      <c r="A132">
        <v>6</v>
      </c>
      <c r="B132" s="927" t="s">
        <v>398</v>
      </c>
      <c r="C132" s="929"/>
      <c r="D132" s="434" t="e">
        <f>G57</f>
        <v>#REF!</v>
      </c>
      <c r="E132" s="428"/>
      <c r="F132" s="429"/>
      <c r="G132" s="60"/>
      <c r="H132" s="432"/>
      <c r="K132" s="158"/>
    </row>
    <row r="133" spans="1:11" s="56" customFormat="1" x14ac:dyDescent="0.25">
      <c r="A133">
        <v>7</v>
      </c>
      <c r="B133" s="927" t="s">
        <v>179</v>
      </c>
      <c r="C133" s="929"/>
      <c r="D133" s="433" t="e">
        <f>D130+D131+D132</f>
        <v>#REF!</v>
      </c>
      <c r="E133" s="430"/>
      <c r="F133" s="429"/>
      <c r="H133" s="432"/>
    </row>
    <row r="134" spans="1:11" s="56" customFormat="1" x14ac:dyDescent="0.25">
      <c r="A134">
        <v>8</v>
      </c>
      <c r="B134" s="927" t="s">
        <v>184</v>
      </c>
      <c r="C134" s="929"/>
      <c r="D134" s="433" t="e">
        <f>E98+E99</f>
        <v>#REF!</v>
      </c>
      <c r="H134" s="159"/>
      <c r="I134" s="159"/>
    </row>
    <row r="135" spans="1:11" s="56" customFormat="1" x14ac:dyDescent="0.25">
      <c r="A135">
        <v>9</v>
      </c>
      <c r="F135" s="293" t="s">
        <v>59</v>
      </c>
      <c r="H135" s="159"/>
      <c r="I135" s="159"/>
      <c r="K135" s="60"/>
    </row>
    <row r="136" spans="1:11" s="56" customFormat="1" x14ac:dyDescent="0.25">
      <c r="A136">
        <v>10</v>
      </c>
      <c r="B136" s="1017" t="s">
        <v>190</v>
      </c>
      <c r="C136" s="1018"/>
      <c r="D136" s="1019"/>
      <c r="E136" s="57">
        <v>6.8000000000000005E-2</v>
      </c>
      <c r="F136" s="161" t="e">
        <f>IF(D133&lt;D129,D130*0.9825+D134,IF(D130&gt;D129,D129*0.9825+D130-D129+D134, D130*0.9825+D134))</f>
        <v>#REF!</v>
      </c>
      <c r="H136" s="10"/>
      <c r="I136" s="160"/>
    </row>
    <row r="137" spans="1:11" s="56" customFormat="1" x14ac:dyDescent="0.25">
      <c r="A137">
        <v>11</v>
      </c>
      <c r="B137" s="1017" t="s">
        <v>185</v>
      </c>
      <c r="C137" s="1018"/>
      <c r="D137" s="1019"/>
      <c r="E137" s="57">
        <v>6.8000000000000005E-2</v>
      </c>
      <c r="F137" s="161" t="e">
        <f>IF(D133&gt;D129,IF(D130&gt;D129,D131,IF((D129-D130)&gt;D132,(D129-D130-D132)*0.9825+D131-(D129-D130-D132),D131)),D131*0.9825)</f>
        <v>#REF!</v>
      </c>
      <c r="H137" s="160"/>
      <c r="I137" s="160"/>
      <c r="J137" s="60"/>
    </row>
    <row r="138" spans="1:11" s="56" customFormat="1" x14ac:dyDescent="0.25">
      <c r="A138">
        <v>12</v>
      </c>
      <c r="B138" s="1017" t="s">
        <v>186</v>
      </c>
      <c r="C138" s="1018"/>
      <c r="D138" s="1019"/>
      <c r="E138" s="57">
        <v>6.8000000000000005E-2</v>
      </c>
      <c r="F138" s="161" t="e">
        <f>IF(D133&lt;D129,D132*0.9825,IF(D130&gt;D129,D132,IF((D129-D130)&gt;D132,D132*0.9825,(D129-D130)*0.9825+D132-(D129-D130))))</f>
        <v>#REF!</v>
      </c>
      <c r="H138" s="60"/>
    </row>
    <row r="139" spans="1:11" s="56" customFormat="1" x14ac:dyDescent="0.25">
      <c r="A139">
        <v>13</v>
      </c>
      <c r="B139" s="1017" t="s">
        <v>187</v>
      </c>
      <c r="C139" s="1018"/>
      <c r="D139" s="1019"/>
      <c r="E139" s="57">
        <v>2.9000000000000001E-2</v>
      </c>
      <c r="F139" s="161" t="e">
        <f>F136</f>
        <v>#REF!</v>
      </c>
    </row>
    <row r="140" spans="1:11" s="56" customFormat="1" x14ac:dyDescent="0.25">
      <c r="A140">
        <v>14</v>
      </c>
      <c r="B140" s="1017" t="s">
        <v>188</v>
      </c>
      <c r="C140" s="1018"/>
      <c r="D140" s="1019"/>
      <c r="E140" s="57">
        <v>2.9000000000000001E-2</v>
      </c>
      <c r="F140" s="161" t="e">
        <f>F137+F138</f>
        <v>#REF!</v>
      </c>
    </row>
    <row r="141" spans="1:11" s="56" customFormat="1" x14ac:dyDescent="0.25">
      <c r="A141">
        <v>15</v>
      </c>
      <c r="B141" s="1017" t="s">
        <v>189</v>
      </c>
      <c r="C141" s="1018"/>
      <c r="D141" s="1019"/>
      <c r="E141" s="177" t="e">
        <f>'HEURES SUPPLEMENTAIRES '!D57</f>
        <v>#REF!</v>
      </c>
      <c r="F141" s="161" t="e">
        <f>D131</f>
        <v>#REF!</v>
      </c>
    </row>
    <row r="143" spans="1:11" x14ac:dyDescent="0.25">
      <c r="A143" t="s">
        <v>732</v>
      </c>
    </row>
    <row r="144" spans="1:11" x14ac:dyDescent="0.25">
      <c r="A144" s="544">
        <v>45778</v>
      </c>
      <c r="B144" t="s">
        <v>733</v>
      </c>
    </row>
    <row r="145" spans="1:2" x14ac:dyDescent="0.25">
      <c r="A145" s="545" t="e">
        <f>IF('MASQUE DE SAISIE '!G9&lt;20,IF('MASQUE DE SAISIE '!E38&lt;A144,('BP FORMAT JUILLET 2023'!G20+'BP FORMAT JUILLET 2023'!G21+'BP FORMAT JUILLET 2023'!G22)*1.5,0),IF('MASQUE DE SAISIE '!G9&gt;=250,0,0.5*('BP FORMAT JUILLET 2023'!G20+'BP FORMAT JUILLET 2023'!G21+'BP FORMAT JUILLET 2023'!G22)))</f>
        <v>#REF!</v>
      </c>
      <c r="B145" t="s">
        <v>734</v>
      </c>
    </row>
  </sheetData>
  <mergeCells count="6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21:D121"/>
    <mergeCell ref="A19:M19"/>
    <mergeCell ref="A93:D93"/>
    <mergeCell ref="A90:D90"/>
    <mergeCell ref="B54:H54"/>
    <mergeCell ref="A84:E84"/>
    <mergeCell ref="A111:D111"/>
    <mergeCell ref="A114:D114"/>
    <mergeCell ref="A110:D110"/>
    <mergeCell ref="A118:D118"/>
    <mergeCell ref="B50:C50"/>
    <mergeCell ref="A99:D99"/>
    <mergeCell ref="A100:D100"/>
    <mergeCell ref="A104:D104"/>
    <mergeCell ref="A85:D85"/>
    <mergeCell ref="A88:D88"/>
    <mergeCell ref="A91:D91"/>
    <mergeCell ref="A92:D92"/>
    <mergeCell ref="A89:D89"/>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20:D120"/>
    <mergeCell ref="A116:D116"/>
    <mergeCell ref="B138:D138"/>
    <mergeCell ref="B139:D139"/>
    <mergeCell ref="B131:C131"/>
    <mergeCell ref="B133:C133"/>
    <mergeCell ref="B134:C134"/>
    <mergeCell ref="B136:D136"/>
    <mergeCell ref="B137:D137"/>
    <mergeCell ref="B130:C130"/>
    <mergeCell ref="B129:C129"/>
    <mergeCell ref="A127:F127"/>
    <mergeCell ref="A119:D119"/>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8" zoomScale="99" workbookViewId="0">
      <selection activeCell="F61" sqref="F61"/>
    </sheetView>
  </sheetViews>
  <sheetFormatPr baseColWidth="10" defaultColWidth="18.7109375" defaultRowHeight="15" x14ac:dyDescent="0.25"/>
  <cols>
    <col min="1" max="2" width="18.7109375" style="20"/>
    <col min="3" max="3" width="18.7109375" style="280"/>
    <col min="4" max="4" width="18.7109375" style="30"/>
    <col min="5" max="5" width="18.7109375" style="36"/>
  </cols>
  <sheetData>
    <row r="1" spans="1:5" ht="48" customHeight="1" x14ac:dyDescent="0.25">
      <c r="A1" s="1036" t="s">
        <v>68</v>
      </c>
      <c r="B1" s="1037"/>
      <c r="C1" s="28" t="s">
        <v>69</v>
      </c>
      <c r="D1" s="260" t="s">
        <v>70</v>
      </c>
    </row>
    <row r="2" spans="1:5" ht="19.5" customHeight="1" x14ac:dyDescent="0.25">
      <c r="A2" s="1038" t="s">
        <v>256</v>
      </c>
      <c r="B2" s="1039"/>
      <c r="C2" s="28"/>
      <c r="D2" s="260"/>
    </row>
    <row r="3" spans="1:5" s="56" customFormat="1" ht="19.5" customHeight="1" x14ac:dyDescent="0.25">
      <c r="A3" s="1040" t="s">
        <v>265</v>
      </c>
      <c r="B3" s="820"/>
      <c r="C3" s="198"/>
      <c r="D3" s="198">
        <v>7.0000000000000007E-2</v>
      </c>
      <c r="E3" s="199"/>
    </row>
    <row r="4" spans="1:5" s="56" customFormat="1" ht="19.5" customHeight="1" x14ac:dyDescent="0.25">
      <c r="A4" s="860" t="s">
        <v>199</v>
      </c>
      <c r="B4" s="861"/>
      <c r="C4" s="198"/>
      <c r="D4" s="198">
        <v>0.06</v>
      </c>
      <c r="E4" s="62"/>
    </row>
    <row r="5" spans="1:5" s="56" customFormat="1" ht="19.5" customHeight="1" x14ac:dyDescent="0.25">
      <c r="A5" s="860" t="s">
        <v>195</v>
      </c>
      <c r="B5" s="861"/>
      <c r="C5" s="371"/>
      <c r="D5" s="371"/>
      <c r="E5" s="1051"/>
    </row>
    <row r="6" spans="1:5" s="56" customFormat="1" ht="19.5" customHeight="1" x14ac:dyDescent="0.25">
      <c r="A6" s="860" t="s">
        <v>243</v>
      </c>
      <c r="B6" s="861"/>
      <c r="C6" s="198"/>
      <c r="D6" s="198"/>
      <c r="E6" s="1051"/>
    </row>
    <row r="7" spans="1:5" s="56" customFormat="1" ht="19.5" customHeight="1" x14ac:dyDescent="0.25">
      <c r="A7" s="1052"/>
      <c r="B7" s="1053"/>
      <c r="C7" s="1053"/>
      <c r="D7" s="1054"/>
      <c r="E7" s="261"/>
    </row>
    <row r="8" spans="1:5" s="56" customFormat="1" ht="19.5" customHeight="1" x14ac:dyDescent="0.25">
      <c r="A8" s="1069" t="s">
        <v>38</v>
      </c>
      <c r="B8" s="1070"/>
      <c r="C8" s="262"/>
      <c r="D8" s="263"/>
    </row>
    <row r="9" spans="1:5" s="56" customFormat="1" ht="19.5" customHeight="1" x14ac:dyDescent="0.25">
      <c r="A9" s="1067" t="s">
        <v>257</v>
      </c>
      <c r="B9" s="1068"/>
      <c r="C9" s="31"/>
      <c r="D9" s="31"/>
    </row>
    <row r="10" spans="1:5" s="56" customFormat="1" ht="19.5" customHeight="1" x14ac:dyDescent="0.25">
      <c r="A10" s="856" t="s">
        <v>244</v>
      </c>
      <c r="B10" s="857"/>
      <c r="C10" s="32"/>
      <c r="D10" s="197">
        <v>3.4500000000000003E-2</v>
      </c>
    </row>
    <row r="11" spans="1:5" s="56" customFormat="1" ht="19.5" customHeight="1" x14ac:dyDescent="0.25">
      <c r="A11" s="908" t="s">
        <v>245</v>
      </c>
      <c r="B11" s="861"/>
      <c r="C11" s="32"/>
      <c r="D11" s="201">
        <v>1.7999999999999999E-2</v>
      </c>
    </row>
    <row r="12" spans="1:5" s="56" customFormat="1" ht="19.5" customHeight="1" x14ac:dyDescent="0.25">
      <c r="A12" s="1071" t="s">
        <v>258</v>
      </c>
      <c r="B12" s="1072"/>
      <c r="C12" s="264"/>
      <c r="D12" s="200"/>
    </row>
    <row r="13" spans="1:5" s="56" customFormat="1" ht="19.5" customHeight="1" x14ac:dyDescent="0.25">
      <c r="A13" s="1050" t="s">
        <v>203</v>
      </c>
      <c r="B13" s="921"/>
      <c r="C13" s="202"/>
      <c r="D13" s="202">
        <v>4.0500000000000001E-2</v>
      </c>
    </row>
    <row r="14" spans="1:5" s="56" customFormat="1" ht="19.5" customHeight="1" x14ac:dyDescent="0.25">
      <c r="A14" s="1050" t="s">
        <v>215</v>
      </c>
      <c r="B14" s="921"/>
      <c r="C14" s="202"/>
      <c r="D14" s="202">
        <v>2.5000000000000001E-3</v>
      </c>
    </row>
    <row r="15" spans="1:5" s="56" customFormat="1" ht="19.5" customHeight="1" x14ac:dyDescent="0.25">
      <c r="A15" s="1046" t="s">
        <v>271</v>
      </c>
      <c r="B15" s="1047"/>
      <c r="C15" s="265">
        <v>2.4000000000000001E-4</v>
      </c>
      <c r="D15" s="266">
        <v>3.6000000000000002E-4</v>
      </c>
    </row>
    <row r="16" spans="1:5" s="56" customFormat="1" ht="19.5" customHeight="1" x14ac:dyDescent="0.25">
      <c r="A16" s="1048" t="s">
        <v>39</v>
      </c>
      <c r="B16" s="1049"/>
      <c r="C16" s="1049"/>
      <c r="D16" s="1049"/>
    </row>
    <row r="17" spans="1:5" s="56" customFormat="1" ht="19.5" customHeight="1" x14ac:dyDescent="0.25">
      <c r="A17" s="1044" t="s">
        <v>40</v>
      </c>
      <c r="B17" s="1045"/>
      <c r="C17" s="197">
        <v>6.9000000000000006E-2</v>
      </c>
      <c r="D17" s="197">
        <v>8.5500000000000007E-2</v>
      </c>
    </row>
    <row r="18" spans="1:5" s="56" customFormat="1" ht="19.5" customHeight="1" x14ac:dyDescent="0.25">
      <c r="A18" s="1044" t="s">
        <v>41</v>
      </c>
      <c r="B18" s="1045"/>
      <c r="C18" s="197">
        <v>4.0000000000000001E-3</v>
      </c>
      <c r="D18" s="490">
        <v>2.0199999999999999E-2</v>
      </c>
    </row>
    <row r="19" spans="1:5" s="56" customFormat="1" ht="19.5" customHeight="1" x14ac:dyDescent="0.25">
      <c r="A19" s="1044" t="s">
        <v>42</v>
      </c>
      <c r="B19" s="1045"/>
      <c r="C19" s="197">
        <v>3.15E-2</v>
      </c>
      <c r="D19" s="197">
        <v>4.7199999999999999E-2</v>
      </c>
    </row>
    <row r="20" spans="1:5" s="56" customFormat="1" ht="19.5" customHeight="1" x14ac:dyDescent="0.25">
      <c r="A20" s="1044" t="s">
        <v>43</v>
      </c>
      <c r="B20" s="1045"/>
      <c r="C20" s="197">
        <v>8.6400000000000005E-2</v>
      </c>
      <c r="D20" s="197">
        <v>0.1295</v>
      </c>
    </row>
    <row r="21" spans="1:5" s="56" customFormat="1" ht="19.5" customHeight="1" x14ac:dyDescent="0.25">
      <c r="A21" s="1044" t="s">
        <v>74</v>
      </c>
      <c r="B21" s="1045"/>
      <c r="C21" s="197">
        <v>8.6E-3</v>
      </c>
      <c r="D21" s="197">
        <v>1.29E-2</v>
      </c>
    </row>
    <row r="22" spans="1:5" s="56" customFormat="1" ht="19.5" customHeight="1" x14ac:dyDescent="0.25">
      <c r="A22" s="1044" t="s">
        <v>75</v>
      </c>
      <c r="B22" s="1045"/>
      <c r="C22" s="197">
        <v>1.0800000000000001E-2</v>
      </c>
      <c r="D22" s="197">
        <v>1.6199999999999999E-2</v>
      </c>
    </row>
    <row r="23" spans="1:5" s="56" customFormat="1" ht="19.5" customHeight="1" x14ac:dyDescent="0.25">
      <c r="A23" s="1044" t="s">
        <v>76</v>
      </c>
      <c r="B23" s="1045"/>
      <c r="C23" s="197">
        <v>1.4E-3</v>
      </c>
      <c r="D23" s="197">
        <v>2.0999999999999999E-3</v>
      </c>
    </row>
    <row r="24" spans="1:5" s="56" customFormat="1" ht="19.5" customHeight="1" x14ac:dyDescent="0.25">
      <c r="A24" s="1044" t="s">
        <v>77</v>
      </c>
      <c r="B24" s="1045"/>
      <c r="C24" s="197">
        <v>1.4E-3</v>
      </c>
      <c r="D24" s="197">
        <v>2.0999999999999999E-3</v>
      </c>
    </row>
    <row r="25" spans="1:5" s="56" customFormat="1" ht="19.5" customHeight="1" x14ac:dyDescent="0.25">
      <c r="A25" s="603"/>
      <c r="B25" s="604"/>
      <c r="C25" s="264"/>
      <c r="D25" s="200"/>
      <c r="E25" s="261"/>
    </row>
    <row r="26" spans="1:5" s="56" customFormat="1" ht="19.5" customHeight="1" x14ac:dyDescent="0.25">
      <c r="A26" s="1044" t="s">
        <v>204</v>
      </c>
      <c r="B26" s="1045"/>
      <c r="C26" s="32"/>
      <c r="D26" s="197">
        <v>1E-3</v>
      </c>
      <c r="E26" s="261"/>
    </row>
    <row r="27" spans="1:5" s="56" customFormat="1" ht="19.5" customHeight="1" x14ac:dyDescent="0.25">
      <c r="A27" s="1073" t="s">
        <v>205</v>
      </c>
      <c r="B27" s="1074"/>
      <c r="C27" s="32"/>
      <c r="D27" s="197">
        <v>5.0000000000000001E-3</v>
      </c>
      <c r="E27" s="261"/>
    </row>
    <row r="28" spans="1:5" s="56" customFormat="1" ht="19.5" customHeight="1" x14ac:dyDescent="0.25">
      <c r="A28" s="1073" t="s">
        <v>178</v>
      </c>
      <c r="B28" s="1074"/>
      <c r="C28" s="32"/>
      <c r="D28" s="197">
        <v>3.2000000000000001E-2</v>
      </c>
      <c r="E28" s="261" t="s">
        <v>490</v>
      </c>
    </row>
    <row r="29" spans="1:5" s="56" customFormat="1" ht="19.5" customHeight="1" x14ac:dyDescent="0.25">
      <c r="A29" s="1044" t="s">
        <v>72</v>
      </c>
      <c r="B29" s="1045"/>
      <c r="C29" s="32"/>
      <c r="D29" s="197">
        <v>3.0000000000000001E-3</v>
      </c>
      <c r="E29" s="261"/>
    </row>
    <row r="30" spans="1:5" s="56" customFormat="1" ht="19.5" customHeight="1" x14ac:dyDescent="0.25">
      <c r="A30" s="1044" t="s">
        <v>46</v>
      </c>
      <c r="B30" s="1045"/>
      <c r="C30" s="32"/>
      <c r="D30" s="197">
        <v>0.08</v>
      </c>
      <c r="E30" s="261"/>
    </row>
    <row r="31" spans="1:5" s="56" customFormat="1" ht="19.5" customHeight="1" x14ac:dyDescent="0.25">
      <c r="A31" s="210" t="s">
        <v>217</v>
      </c>
      <c r="B31" s="210"/>
      <c r="C31" s="32"/>
      <c r="D31" s="197">
        <v>0.2</v>
      </c>
      <c r="E31" s="261"/>
    </row>
    <row r="32" spans="1:5" s="56" customFormat="1" ht="15.75" x14ac:dyDescent="0.25">
      <c r="A32" s="1044" t="s">
        <v>73</v>
      </c>
      <c r="B32" s="1045"/>
      <c r="C32" s="32"/>
      <c r="D32" s="202">
        <v>1.6000000000000001E-4</v>
      </c>
      <c r="E32" s="199"/>
    </row>
    <row r="33" spans="1:5" s="56" customFormat="1" ht="24.75" customHeight="1" x14ac:dyDescent="0.25">
      <c r="A33" s="860" t="s">
        <v>826</v>
      </c>
      <c r="B33" s="1045"/>
      <c r="C33" s="29"/>
      <c r="D33" s="626">
        <f>0.68%+1%</f>
        <v>1.6800000000000002E-2</v>
      </c>
      <c r="E33" s="627"/>
    </row>
    <row r="34" spans="1:5" s="56" customFormat="1" ht="24.75" customHeight="1" x14ac:dyDescent="0.25">
      <c r="A34" s="1044" t="s">
        <v>827</v>
      </c>
      <c r="B34" s="1045"/>
      <c r="C34" s="29"/>
      <c r="D34" s="626">
        <f>0.68%+0.55%</f>
        <v>1.2300000000000002E-2</v>
      </c>
      <c r="E34" s="627"/>
    </row>
    <row r="35" spans="1:5" s="56" customFormat="1" ht="15" customHeight="1" x14ac:dyDescent="0.25">
      <c r="A35" s="1044" t="s">
        <v>78</v>
      </c>
      <c r="B35" s="1045"/>
      <c r="C35" s="29"/>
      <c r="D35" s="197">
        <v>4.4999999999999997E-3</v>
      </c>
      <c r="E35" s="203"/>
    </row>
    <row r="36" spans="1:5" s="56" customFormat="1" ht="15" customHeight="1" x14ac:dyDescent="0.25">
      <c r="A36" s="1055"/>
      <c r="B36" s="1056"/>
      <c r="C36" s="264"/>
      <c r="D36" s="200"/>
      <c r="E36" s="203"/>
    </row>
    <row r="37" spans="1:5" s="56" customFormat="1" ht="21" customHeight="1" x14ac:dyDescent="0.25">
      <c r="A37" s="1050" t="s">
        <v>48</v>
      </c>
      <c r="B37" s="921"/>
      <c r="C37" s="267">
        <v>6.8000000000000005E-2</v>
      </c>
      <c r="D37" s="204"/>
      <c r="E37" s="484"/>
    </row>
    <row r="38" spans="1:5" s="56" customFormat="1" ht="21" customHeight="1" x14ac:dyDescent="0.25">
      <c r="A38" s="1062" t="s">
        <v>49</v>
      </c>
      <c r="B38" s="1062"/>
      <c r="C38" s="267">
        <v>2.9000000000000001E-2</v>
      </c>
      <c r="D38" s="204"/>
      <c r="E38" s="199"/>
    </row>
    <row r="39" spans="1:5" s="56" customFormat="1" ht="21" customHeight="1" x14ac:dyDescent="0.25">
      <c r="A39" s="1050" t="s">
        <v>50</v>
      </c>
      <c r="B39" s="921"/>
      <c r="C39" s="267">
        <v>6.8000000000000005E-2</v>
      </c>
      <c r="D39" s="204"/>
      <c r="E39" s="199"/>
    </row>
    <row r="40" spans="1:5" s="56" customFormat="1" ht="21" customHeight="1" x14ac:dyDescent="0.25">
      <c r="A40" s="1050" t="s">
        <v>51</v>
      </c>
      <c r="B40" s="921"/>
      <c r="C40" s="267">
        <v>6.8000000000000005E-2</v>
      </c>
      <c r="D40" s="204"/>
    </row>
    <row r="41" spans="1:5" s="56" customFormat="1" ht="21" customHeight="1" x14ac:dyDescent="0.25">
      <c r="A41" s="1050" t="s">
        <v>52</v>
      </c>
      <c r="B41" s="921"/>
      <c r="C41" s="267">
        <v>2.9000000000000001E-2</v>
      </c>
      <c r="D41" s="204"/>
    </row>
    <row r="42" spans="1:5" s="56" customFormat="1" ht="10.5" customHeight="1" x14ac:dyDescent="0.25">
      <c r="A42" s="1041"/>
      <c r="B42" s="1042"/>
      <c r="C42" s="1042"/>
      <c r="D42" s="1043"/>
      <c r="E42" s="35"/>
    </row>
    <row r="43" spans="1:5" s="56" customFormat="1" ht="15" customHeight="1" x14ac:dyDescent="0.25">
      <c r="A43" s="1065" t="s">
        <v>259</v>
      </c>
      <c r="B43" s="1066"/>
      <c r="C43" s="268"/>
      <c r="D43" s="269"/>
      <c r="E43" s="199"/>
    </row>
    <row r="44" spans="1:5" s="56" customFormat="1" ht="15" customHeight="1" x14ac:dyDescent="0.25">
      <c r="A44" s="1047" t="s">
        <v>248</v>
      </c>
      <c r="B44" s="1062"/>
      <c r="C44" s="267"/>
      <c r="D44" s="267"/>
      <c r="E44" s="180"/>
    </row>
    <row r="45" spans="1:5" s="56" customFormat="1" ht="15" customHeight="1" x14ac:dyDescent="0.25">
      <c r="A45" s="1047" t="s">
        <v>247</v>
      </c>
      <c r="B45" s="1062"/>
      <c r="C45" s="267"/>
      <c r="D45" s="267"/>
      <c r="E45" s="180"/>
    </row>
    <row r="46" spans="1:5" s="56" customFormat="1" ht="15" customHeight="1" x14ac:dyDescent="0.25">
      <c r="A46" s="1062" t="s">
        <v>200</v>
      </c>
      <c r="B46" s="1062"/>
      <c r="C46" s="267"/>
      <c r="D46" s="267">
        <v>1.4999999999999999E-2</v>
      </c>
      <c r="E46" s="180"/>
    </row>
    <row r="47" spans="1:5" s="56" customFormat="1" ht="15" customHeight="1" x14ac:dyDescent="0.25">
      <c r="A47" s="1050" t="s">
        <v>201</v>
      </c>
      <c r="B47" s="921"/>
      <c r="C47" s="268"/>
      <c r="D47" s="270"/>
      <c r="E47" s="199"/>
    </row>
    <row r="48" spans="1:5" s="56" customFormat="1" ht="15" customHeight="1" x14ac:dyDescent="0.25">
      <c r="A48" s="1050" t="s">
        <v>202</v>
      </c>
      <c r="B48" s="921"/>
      <c r="C48" s="268"/>
      <c r="D48" s="270"/>
      <c r="E48" s="199"/>
    </row>
    <row r="49" spans="1:6" s="56" customFormat="1" ht="8.25" customHeight="1" x14ac:dyDescent="0.25">
      <c r="A49" s="1052"/>
      <c r="B49" s="1053"/>
      <c r="C49" s="1053"/>
      <c r="D49" s="1054"/>
      <c r="E49" s="199"/>
    </row>
    <row r="50" spans="1:6" s="56" customFormat="1" ht="15" customHeight="1" x14ac:dyDescent="0.25">
      <c r="A50" s="1063" t="s">
        <v>494</v>
      </c>
      <c r="B50" s="1064"/>
      <c r="C50" s="491">
        <v>3925</v>
      </c>
      <c r="D50" s="271"/>
      <c r="E50" s="199"/>
    </row>
    <row r="51" spans="1:6" s="56" customFormat="1" x14ac:dyDescent="0.25">
      <c r="A51" s="1063" t="s">
        <v>495</v>
      </c>
      <c r="B51" s="1064"/>
      <c r="C51" s="206">
        <v>11.65</v>
      </c>
      <c r="D51" s="205"/>
      <c r="E51" s="199"/>
    </row>
    <row r="52" spans="1:6" s="56" customFormat="1" x14ac:dyDescent="0.25">
      <c r="A52" s="1063" t="s">
        <v>496</v>
      </c>
      <c r="B52" s="1064"/>
      <c r="C52" s="206">
        <v>11.88</v>
      </c>
      <c r="D52" s="205"/>
      <c r="E52" s="199"/>
    </row>
    <row r="53" spans="1:6" s="56" customFormat="1" x14ac:dyDescent="0.25">
      <c r="A53" s="486" t="s">
        <v>497</v>
      </c>
      <c r="B53" s="487"/>
      <c r="C53" s="491">
        <v>11.88</v>
      </c>
      <c r="D53" s="205"/>
      <c r="E53" s="199"/>
    </row>
    <row r="54" spans="1:6" s="56" customFormat="1" x14ac:dyDescent="0.25">
      <c r="A54" s="1063" t="s">
        <v>498</v>
      </c>
      <c r="B54" s="1064"/>
      <c r="C54" s="272"/>
      <c r="D54" s="205"/>
      <c r="E54" s="199"/>
    </row>
    <row r="55" spans="1:6" s="56" customFormat="1" x14ac:dyDescent="0.25">
      <c r="A55" s="1063" t="s">
        <v>498</v>
      </c>
      <c r="B55" s="1064"/>
      <c r="C55" s="272"/>
      <c r="D55" s="205"/>
      <c r="E55" s="199"/>
    </row>
    <row r="56" spans="1:6" s="56" customFormat="1" x14ac:dyDescent="0.25">
      <c r="A56" s="486" t="s">
        <v>499</v>
      </c>
      <c r="B56" s="487"/>
      <c r="C56" s="272">
        <f>C53*35*52/12</f>
        <v>1801.8000000000002</v>
      </c>
      <c r="D56" s="205"/>
      <c r="E56" s="199"/>
    </row>
    <row r="57" spans="1:6" s="56" customFormat="1" x14ac:dyDescent="0.25">
      <c r="A57" s="1063" t="s">
        <v>500</v>
      </c>
      <c r="B57" s="1064"/>
      <c r="C57" s="206">
        <f>1.6*C53*35*52/12</f>
        <v>2882.8800000000006</v>
      </c>
      <c r="D57" s="205"/>
      <c r="E57" s="199"/>
    </row>
    <row r="58" spans="1:6" s="56" customFormat="1" x14ac:dyDescent="0.25">
      <c r="A58" s="1050" t="s">
        <v>501</v>
      </c>
      <c r="B58" s="921"/>
      <c r="C58" s="492">
        <f>2.25*C53*35*52/12</f>
        <v>4054.0500000000006</v>
      </c>
      <c r="D58" s="198"/>
      <c r="E58" s="199" t="s">
        <v>491</v>
      </c>
      <c r="F58" s="493">
        <f>ROUND(2.25*C53*151.67,2)</f>
        <v>4054.14</v>
      </c>
    </row>
    <row r="59" spans="1:6" s="56" customFormat="1" x14ac:dyDescent="0.25">
      <c r="A59" s="1050" t="s">
        <v>502</v>
      </c>
      <c r="B59" s="921"/>
      <c r="C59" s="492">
        <f>3.3*C53*35*52/12</f>
        <v>5945.94</v>
      </c>
      <c r="D59" s="198"/>
      <c r="E59" s="199"/>
      <c r="F59" s="493">
        <f>ROUND(3.3*C53*151.67,2)</f>
        <v>5946.07</v>
      </c>
    </row>
    <row r="60" spans="1:6" s="56" customFormat="1" ht="31.5" customHeight="1" x14ac:dyDescent="0.25">
      <c r="A60" s="1050" t="s">
        <v>503</v>
      </c>
      <c r="B60" s="921"/>
      <c r="C60" s="494">
        <v>0.31940000000000002</v>
      </c>
      <c r="D60" s="495">
        <v>0.32340000000000002</v>
      </c>
    </row>
    <row r="61" spans="1:6" s="56" customFormat="1" ht="46.9" customHeight="1" x14ac:dyDescent="0.25">
      <c r="A61" s="908" t="s">
        <v>867</v>
      </c>
      <c r="B61" s="861"/>
      <c r="C61" s="667">
        <f>IF('BP FORMAT JUILLET 2023'!H10&lt;45778,IF('BP FORMAT JUILLET 2023'!B9&lt;50,0.3194,0.3294),IF('BP FORMAT JUILLET 2023'!B9&lt;50,0.3193,0.3233))</f>
        <v>0.31940000000000002</v>
      </c>
      <c r="D61" s="665"/>
    </row>
    <row r="62" spans="1:6" s="56" customFormat="1" ht="24" customHeight="1" x14ac:dyDescent="0.25">
      <c r="A62" s="908" t="s">
        <v>213</v>
      </c>
      <c r="B62" s="861"/>
      <c r="C62" s="666" t="s">
        <v>868</v>
      </c>
      <c r="D62" s="668">
        <f>IF('MASQUE DE SAISIE '!E38&lt;45778,1.5,0)</f>
        <v>1.5</v>
      </c>
    </row>
    <row r="63" spans="1:6" s="56" customFormat="1" ht="24" customHeight="1" x14ac:dyDescent="0.25">
      <c r="A63" s="908" t="s">
        <v>212</v>
      </c>
      <c r="B63" s="861"/>
      <c r="C63" s="666" t="s">
        <v>868</v>
      </c>
      <c r="D63" s="668">
        <v>0.5</v>
      </c>
    </row>
    <row r="64" spans="1:6" s="56" customFormat="1" ht="24" customHeight="1" x14ac:dyDescent="0.25">
      <c r="A64" s="908" t="s">
        <v>869</v>
      </c>
      <c r="B64" s="861"/>
      <c r="C64" s="273"/>
      <c r="D64" s="669">
        <f>IF('MASQUE DE SAISIE '!E38&lt;45778,IF('MASQUE DE SAISIE '!G9&lt;20,1.5,IF('MASQUE DE SAISIE '!G9&lt;250,0.5,0)),IF('MASQUE DE SAISIE '!G9&lt;20,0,IF('MASQUE DE SAISIE '!G9&lt;250,0.5,0)))</f>
        <v>0.5</v>
      </c>
      <c r="E64" s="213"/>
    </row>
    <row r="65" spans="1:5" s="56" customFormat="1" ht="15" customHeight="1" x14ac:dyDescent="0.25">
      <c r="A65" s="1044" t="s">
        <v>214</v>
      </c>
      <c r="B65" s="1045"/>
      <c r="C65" s="496">
        <v>88.8</v>
      </c>
      <c r="D65" s="274"/>
      <c r="E65" s="209"/>
    </row>
    <row r="66" spans="1:5" s="56" customFormat="1" ht="35.25" customHeight="1" x14ac:dyDescent="0.25">
      <c r="A66" s="605"/>
      <c r="B66" s="199"/>
      <c r="C66" s="275"/>
      <c r="D66" s="207"/>
      <c r="E66" s="199"/>
    </row>
    <row r="67" spans="1:5" s="56" customFormat="1" ht="18.75" customHeight="1" x14ac:dyDescent="0.25">
      <c r="A67" s="484"/>
      <c r="B67" s="1076" t="s">
        <v>266</v>
      </c>
      <c r="C67" s="1076"/>
      <c r="D67" s="1077" t="s">
        <v>267</v>
      </c>
      <c r="E67" s="1077"/>
    </row>
    <row r="68" spans="1:5" s="56" customFormat="1" ht="18.75" customHeight="1" x14ac:dyDescent="0.25">
      <c r="A68" s="484"/>
      <c r="B68" s="534" t="s">
        <v>260</v>
      </c>
      <c r="C68" s="281" t="s">
        <v>82</v>
      </c>
      <c r="D68" s="281" t="s">
        <v>260</v>
      </c>
      <c r="E68" s="281" t="s">
        <v>82</v>
      </c>
    </row>
    <row r="69" spans="1:5" s="56" customFormat="1" ht="18.75" customHeight="1" x14ac:dyDescent="0.25">
      <c r="A69" s="606" t="s">
        <v>42</v>
      </c>
      <c r="B69" s="607">
        <v>3.15E-2</v>
      </c>
      <c r="C69" s="283">
        <v>4.7199999999999999E-2</v>
      </c>
      <c r="D69" s="282">
        <v>3.15E-2</v>
      </c>
      <c r="E69" s="283">
        <v>4.7199999999999999E-2</v>
      </c>
    </row>
    <row r="70" spans="1:5" s="56" customFormat="1" ht="18.75" customHeight="1" x14ac:dyDescent="0.25">
      <c r="A70" s="606" t="s">
        <v>261</v>
      </c>
      <c r="B70" s="607">
        <v>8.6E-3</v>
      </c>
      <c r="C70" s="282">
        <v>1.29E-2</v>
      </c>
      <c r="D70" s="282">
        <v>8.6E-3</v>
      </c>
      <c r="E70" s="282">
        <v>1.29E-2</v>
      </c>
    </row>
    <row r="71" spans="1:5" s="56" customFormat="1" ht="18.75" customHeight="1" x14ac:dyDescent="0.25">
      <c r="A71" s="606" t="s">
        <v>263</v>
      </c>
      <c r="B71" s="535"/>
      <c r="C71" s="288"/>
      <c r="D71" s="282">
        <v>1.4E-3</v>
      </c>
      <c r="E71" s="282">
        <v>2.0999999999999999E-3</v>
      </c>
    </row>
    <row r="72" spans="1:5" s="56" customFormat="1" ht="35.25" customHeight="1" x14ac:dyDescent="0.25">
      <c r="A72" s="608" t="s">
        <v>268</v>
      </c>
      <c r="B72" s="609">
        <f>+B69+B70</f>
        <v>4.0099999999999997E-2</v>
      </c>
      <c r="C72" s="286">
        <f>+C69+C70</f>
        <v>6.0100000000000001E-2</v>
      </c>
      <c r="D72" s="286">
        <f>SUM(D69:D71)</f>
        <v>4.1499999999999995E-2</v>
      </c>
      <c r="E72" s="286">
        <f>SUM(E69:E71)</f>
        <v>6.2199999999999998E-2</v>
      </c>
    </row>
    <row r="73" spans="1:5" s="56" customFormat="1" ht="27" customHeight="1" x14ac:dyDescent="0.25">
      <c r="A73" s="610"/>
      <c r="B73" s="611"/>
      <c r="C73" s="287"/>
      <c r="D73" s="287"/>
      <c r="E73" s="287"/>
    </row>
    <row r="74" spans="1:5" s="56" customFormat="1" ht="18.75" customHeight="1" x14ac:dyDescent="0.25">
      <c r="A74" s="484"/>
      <c r="B74" s="484"/>
      <c r="C74" s="284"/>
      <c r="D74" s="281" t="s">
        <v>81</v>
      </c>
      <c r="E74" s="285" t="s">
        <v>82</v>
      </c>
    </row>
    <row r="75" spans="1:5" s="56" customFormat="1" ht="18.75" customHeight="1" x14ac:dyDescent="0.25">
      <c r="A75" s="606" t="s">
        <v>43</v>
      </c>
      <c r="B75" s="484"/>
      <c r="C75" s="284"/>
      <c r="D75" s="282">
        <v>8.6400000000000005E-2</v>
      </c>
      <c r="E75" s="282">
        <v>0.1295</v>
      </c>
    </row>
    <row r="76" spans="1:5" s="56" customFormat="1" ht="18.75" customHeight="1" x14ac:dyDescent="0.25">
      <c r="A76" s="606" t="s">
        <v>262</v>
      </c>
      <c r="B76" s="484"/>
      <c r="C76" s="284"/>
      <c r="D76" s="282">
        <v>1.0800000000000001E-2</v>
      </c>
      <c r="E76" s="282">
        <v>1.6199999999999999E-2</v>
      </c>
    </row>
    <row r="77" spans="1:5" s="56" customFormat="1" ht="18.75" customHeight="1" x14ac:dyDescent="0.25">
      <c r="A77" s="606" t="s">
        <v>264</v>
      </c>
      <c r="B77" s="484"/>
      <c r="C77" s="284"/>
      <c r="D77" s="282">
        <v>1.4E-3</v>
      </c>
      <c r="E77" s="282">
        <v>2.0999999999999999E-3</v>
      </c>
    </row>
    <row r="78" spans="1:5" s="56" customFormat="1" ht="33" customHeight="1" x14ac:dyDescent="0.25">
      <c r="A78" s="608" t="s">
        <v>269</v>
      </c>
      <c r="B78" s="484"/>
      <c r="C78" s="284"/>
      <c r="D78" s="286">
        <f>SUM(D75:D77)</f>
        <v>9.8600000000000007E-2</v>
      </c>
      <c r="E78" s="286">
        <f>SUM(E75:E77)</f>
        <v>0.14779999999999999</v>
      </c>
    </row>
    <row r="79" spans="1:5" s="56" customFormat="1" ht="35.25" customHeight="1" x14ac:dyDescent="0.25">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1078" t="s">
        <v>870</v>
      </c>
      <c r="B81" s="1079"/>
      <c r="C81" s="1079"/>
      <c r="D81" s="1080"/>
      <c r="E81" s="199"/>
    </row>
    <row r="82" spans="1:8" s="56" customFormat="1" ht="42" customHeight="1" x14ac:dyDescent="0.25">
      <c r="A82" s="1060" t="s">
        <v>206</v>
      </c>
      <c r="B82" s="1061"/>
      <c r="C82" s="74" t="s">
        <v>504</v>
      </c>
      <c r="D82" s="74" t="s">
        <v>492</v>
      </c>
      <c r="E82" s="199"/>
    </row>
    <row r="83" spans="1:8" s="56" customFormat="1" ht="35.25" customHeight="1" x14ac:dyDescent="0.25">
      <c r="A83" s="1057" t="s">
        <v>207</v>
      </c>
      <c r="B83" s="1058"/>
      <c r="C83" s="279" t="s">
        <v>208</v>
      </c>
      <c r="D83" s="497">
        <v>3.2000000000000001E-2</v>
      </c>
      <c r="E83" s="199"/>
      <c r="H83"/>
    </row>
    <row r="84" spans="1:8" s="56" customFormat="1" ht="35.25" customHeight="1" x14ac:dyDescent="0.25">
      <c r="A84" s="1057" t="s">
        <v>209</v>
      </c>
      <c r="B84" s="1058"/>
      <c r="C84" s="279" t="s">
        <v>208</v>
      </c>
      <c r="D84" s="497">
        <v>3.2000000000000001E-2</v>
      </c>
      <c r="E84" s="199"/>
      <c r="H84"/>
    </row>
    <row r="85" spans="1:8" ht="47.25" customHeight="1" x14ac:dyDescent="0.25">
      <c r="A85" s="1059" t="s">
        <v>210</v>
      </c>
      <c r="B85" s="1059"/>
      <c r="C85" s="279" t="s">
        <v>493</v>
      </c>
      <c r="D85" s="279" t="s">
        <v>493</v>
      </c>
    </row>
    <row r="86" spans="1:8" ht="35.25" customHeight="1" x14ac:dyDescent="0.25">
      <c r="A86" s="1075"/>
      <c r="B86" s="1075"/>
      <c r="C86" s="498"/>
    </row>
    <row r="87" spans="1:8" ht="35.25" customHeight="1" x14ac:dyDescent="0.25">
      <c r="A87" s="20" t="s">
        <v>211</v>
      </c>
    </row>
    <row r="88" spans="1:8" ht="35.25" customHeight="1" x14ac:dyDescent="0.25">
      <c r="A88" s="199" t="s">
        <v>821</v>
      </c>
    </row>
    <row r="89" spans="1:8" ht="35.25" customHeight="1" x14ac:dyDescent="0.25">
      <c r="B89" s="199"/>
      <c r="C89" s="275"/>
    </row>
  </sheetData>
  <mergeCells count="70">
    <mergeCell ref="A86:B86"/>
    <mergeCell ref="A64:B64"/>
    <mergeCell ref="A65:B65"/>
    <mergeCell ref="B67:C67"/>
    <mergeCell ref="D67:E67"/>
    <mergeCell ref="A81:D81"/>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49:D49"/>
    <mergeCell ref="A46:B46"/>
    <mergeCell ref="A59:B59"/>
    <mergeCell ref="A55:B55"/>
    <mergeCell ref="A57:B57"/>
    <mergeCell ref="A58:B58"/>
    <mergeCell ref="A36:B36"/>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23:B23"/>
    <mergeCell ref="A24:B24"/>
    <mergeCell ref="A33:B33"/>
    <mergeCell ref="A34:B34"/>
    <mergeCell ref="A35:B35"/>
    <mergeCell ref="E5:E6"/>
    <mergeCell ref="A6:B6"/>
    <mergeCell ref="A7:D7"/>
    <mergeCell ref="A13:B13"/>
    <mergeCell ref="A14:B14"/>
    <mergeCell ref="A61:B61"/>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6" sqref="C6"/>
    </sheetView>
  </sheetViews>
  <sheetFormatPr baseColWidth="10" defaultColWidth="11.42578125" defaultRowHeight="15" x14ac:dyDescent="0.2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x14ac:dyDescent="0.25">
      <c r="A2" s="1082" t="s">
        <v>705</v>
      </c>
      <c r="B2" s="1083"/>
      <c r="C2" s="1083"/>
      <c r="D2" s="1083"/>
      <c r="E2" s="1083"/>
      <c r="F2" s="1083"/>
      <c r="G2" s="1084"/>
    </row>
    <row r="3" spans="1:9" x14ac:dyDescent="0.25">
      <c r="A3" s="59"/>
      <c r="B3" s="59"/>
      <c r="C3" s="59"/>
      <c r="D3" s="59"/>
      <c r="E3" s="59"/>
      <c r="F3" s="59"/>
      <c r="G3" s="59"/>
    </row>
    <row r="6" spans="1:9" x14ac:dyDescent="0.25">
      <c r="A6" s="970" t="s">
        <v>706</v>
      </c>
      <c r="B6" s="970"/>
      <c r="C6" s="541">
        <f>+'TR Matrice Cotisations '!E5</f>
        <v>0</v>
      </c>
    </row>
    <row r="7" spans="1:9" x14ac:dyDescent="0.25">
      <c r="C7" s="37"/>
    </row>
    <row r="8" spans="1:9" x14ac:dyDescent="0.25">
      <c r="A8" s="970" t="s">
        <v>707</v>
      </c>
      <c r="B8" s="970"/>
      <c r="C8" s="542">
        <f>+'TR Matrice Cotisations '!E7</f>
        <v>0</v>
      </c>
    </row>
    <row r="9" spans="1:9" x14ac:dyDescent="0.25">
      <c r="C9" s="37"/>
    </row>
    <row r="10" spans="1:9" x14ac:dyDescent="0.25">
      <c r="A10" s="970" t="s">
        <v>708</v>
      </c>
      <c r="B10" s="970"/>
      <c r="C10" s="542">
        <f>+'TR Matrice Cotisations '!E9</f>
        <v>0</v>
      </c>
      <c r="D10" s="954"/>
      <c r="E10" s="955"/>
      <c r="F10" s="955"/>
      <c r="G10" s="955"/>
    </row>
    <row r="12" spans="1:9" x14ac:dyDescent="0.25">
      <c r="D12" s="1081" t="s">
        <v>709</v>
      </c>
      <c r="E12" s="1081"/>
      <c r="F12" s="1081"/>
      <c r="G12" s="1081"/>
    </row>
    <row r="14" spans="1:9" ht="24" x14ac:dyDescent="0.25">
      <c r="A14" s="970" t="s">
        <v>710</v>
      </c>
      <c r="B14" s="970"/>
      <c r="C14" s="534" t="str">
        <f>IF(C8&lt;=60%*C6,"Régle respectée","Régle non respectée")</f>
        <v>Régle respectée</v>
      </c>
      <c r="D14" s="535">
        <f>IF(C8-60%*C6&lt;0,0,C8)</f>
        <v>0</v>
      </c>
      <c r="E14" s="1059" t="s">
        <v>711</v>
      </c>
      <c r="F14" s="1057"/>
      <c r="G14" s="970" t="s">
        <v>712</v>
      </c>
    </row>
    <row r="15" spans="1:9" x14ac:dyDescent="0.25">
      <c r="C15" s="59"/>
      <c r="D15" s="37"/>
      <c r="G15" s="970"/>
      <c r="H15" s="970" t="s">
        <v>713</v>
      </c>
      <c r="I15" s="970"/>
    </row>
    <row r="16" spans="1:9" ht="24" x14ac:dyDescent="0.25">
      <c r="A16" s="1059" t="s">
        <v>714</v>
      </c>
      <c r="B16" s="1059"/>
      <c r="C16" s="534" t="str">
        <f>IF(C8&gt;=50%*C6,"Régle respectée","Régle non respectée ")</f>
        <v>Régle respectée</v>
      </c>
      <c r="D16" s="535">
        <f>IF(C16="Régle respectée",0,C8)</f>
        <v>0</v>
      </c>
      <c r="E16" s="1059" t="s">
        <v>711</v>
      </c>
      <c r="F16" s="1057"/>
      <c r="G16" s="970"/>
      <c r="H16" s="970">
        <f>MAX(D14,D16,D18)</f>
        <v>0</v>
      </c>
      <c r="I16" s="970"/>
    </row>
    <row r="17" spans="1:7" x14ac:dyDescent="0.25">
      <c r="C17" s="59"/>
      <c r="D17" s="37"/>
      <c r="G17" s="970"/>
    </row>
    <row r="18" spans="1:7" ht="25.5" x14ac:dyDescent="0.25">
      <c r="A18" s="1032" t="s">
        <v>715</v>
      </c>
      <c r="B18" s="1032"/>
      <c r="C18" s="536" t="str">
        <f>IF(C8&gt;7.26,"Régle non respectée","Régle respectée ")</f>
        <v xml:space="preserve">Régle respectée </v>
      </c>
      <c r="D18" s="537">
        <f>IF(C8&lt;=7.26,0,C8-7.26)</f>
        <v>0</v>
      </c>
      <c r="E18" s="1032" t="s">
        <v>716</v>
      </c>
      <c r="F18" s="1085"/>
      <c r="G18" s="970"/>
    </row>
    <row r="20" spans="1:7" hidden="1" x14ac:dyDescent="0.25"/>
    <row r="21" spans="1:7" x14ac:dyDescent="0.25">
      <c r="A21" s="970" t="s">
        <v>717</v>
      </c>
      <c r="B21" s="970"/>
      <c r="C21" s="37">
        <f>C6-C8</f>
        <v>0</v>
      </c>
    </row>
    <row r="23" spans="1:7" x14ac:dyDescent="0.25">
      <c r="A23" s="970" t="s">
        <v>718</v>
      </c>
      <c r="B23" s="970"/>
      <c r="C23" s="37">
        <f>C10</f>
        <v>0</v>
      </c>
    </row>
    <row r="25" spans="1:7" x14ac:dyDescent="0.25">
      <c r="A25" s="970" t="s">
        <v>719</v>
      </c>
      <c r="B25" s="970"/>
      <c r="C25" s="37">
        <f>C8*C23</f>
        <v>0</v>
      </c>
    </row>
    <row r="27" spans="1:7" x14ac:dyDescent="0.25">
      <c r="A27" s="970" t="s">
        <v>720</v>
      </c>
      <c r="B27" s="970"/>
      <c r="C27" s="37">
        <f>C21*C23</f>
        <v>0</v>
      </c>
    </row>
    <row r="29" spans="1:7" x14ac:dyDescent="0.25">
      <c r="A29" s="1059" t="s">
        <v>721</v>
      </c>
      <c r="B29" s="1059"/>
      <c r="C29" s="1086">
        <f>MAX(D14,D16,D18)*C23</f>
        <v>0</v>
      </c>
    </row>
    <row r="30" spans="1:7" x14ac:dyDescent="0.25">
      <c r="A30" s="1059"/>
      <c r="B30" s="1059"/>
      <c r="C30" s="1087"/>
    </row>
    <row r="31" spans="1:7" x14ac:dyDescent="0.25">
      <c r="A31" s="1059"/>
      <c r="B31" s="1059"/>
      <c r="C31" s="1087"/>
    </row>
    <row r="32" spans="1:7" hidden="1" x14ac:dyDescent="0.25">
      <c r="A32" s="1059"/>
      <c r="B32" s="1059"/>
      <c r="C32" s="1088"/>
    </row>
    <row r="34" spans="3:3" x14ac:dyDescent="0.25">
      <c r="C34" s="1035"/>
    </row>
    <row r="35" spans="3:3" x14ac:dyDescent="0.25">
      <c r="C35" s="1035"/>
    </row>
    <row r="36" spans="3:3" x14ac:dyDescent="0.25">
      <c r="C36" s="1035"/>
    </row>
    <row r="37" spans="3:3" x14ac:dyDescent="0.25">
      <c r="C37" s="1035"/>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10" sqref="E10"/>
    </sheetView>
  </sheetViews>
  <sheetFormatPr baseColWidth="10" defaultColWidth="11.42578125" defaultRowHeight="15.75" x14ac:dyDescent="0.2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x14ac:dyDescent="0.25">
      <c r="B1" s="1090" t="s">
        <v>722</v>
      </c>
      <c r="C1" s="1091"/>
      <c r="D1" s="1091"/>
      <c r="E1" s="1091"/>
      <c r="F1" s="1091"/>
      <c r="G1" s="1091"/>
      <c r="H1" s="1091"/>
      <c r="I1" s="1092"/>
    </row>
    <row r="3" spans="2:9" hidden="1" x14ac:dyDescent="0.25"/>
    <row r="4" spans="2:9" x14ac:dyDescent="0.25">
      <c r="E4" s="183"/>
      <c r="G4" s="183"/>
    </row>
    <row r="5" spans="2:9" x14ac:dyDescent="0.25">
      <c r="B5" s="1089" t="s">
        <v>706</v>
      </c>
      <c r="C5" s="1089"/>
      <c r="E5" s="538">
        <f>+'MASQUE DE SAISIE '!E48+'MASQUE DE SAISIE '!E49</f>
        <v>0</v>
      </c>
      <c r="G5" s="183"/>
    </row>
    <row r="6" spans="2:9" x14ac:dyDescent="0.25">
      <c r="E6" s="208"/>
      <c r="G6" s="183"/>
    </row>
    <row r="7" spans="2:9" x14ac:dyDescent="0.25">
      <c r="B7" s="1089" t="s">
        <v>707</v>
      </c>
      <c r="C7" s="1089"/>
      <c r="E7" s="539">
        <f>+'MASQUE DE SAISIE '!E49</f>
        <v>0</v>
      </c>
      <c r="G7" s="183"/>
    </row>
    <row r="8" spans="2:9" x14ac:dyDescent="0.25">
      <c r="E8" s="208"/>
      <c r="G8" s="183"/>
    </row>
    <row r="9" spans="2:9" x14ac:dyDescent="0.25">
      <c r="B9" s="1089" t="s">
        <v>708</v>
      </c>
      <c r="C9" s="1089"/>
      <c r="E9" s="540">
        <f>'MASQUE DE SAISIE '!E47</f>
        <v>0</v>
      </c>
      <c r="G9" s="1093" t="s">
        <v>723</v>
      </c>
      <c r="H9" s="1093"/>
    </row>
    <row r="10" spans="2:9" x14ac:dyDescent="0.25">
      <c r="E10" s="183"/>
      <c r="G10" s="183"/>
    </row>
    <row r="11" spans="2:9" ht="63" x14ac:dyDescent="0.25">
      <c r="E11" s="183"/>
      <c r="G11" s="38" t="s">
        <v>724</v>
      </c>
      <c r="H11" s="38" t="s">
        <v>725</v>
      </c>
    </row>
    <row r="12" spans="2:9" x14ac:dyDescent="0.25">
      <c r="E12" s="183"/>
      <c r="G12" s="183"/>
    </row>
    <row r="13" spans="2:9" ht="31.5" x14ac:dyDescent="0.25">
      <c r="B13" s="1089" t="s">
        <v>726</v>
      </c>
      <c r="C13" s="1089"/>
      <c r="E13" s="281" t="str">
        <f>IF(E7&lt;=60%*E5,"Régle respectée","Régle non respectée")</f>
        <v>Régle respectée</v>
      </c>
      <c r="G13" s="38">
        <f>IF(E7-60%*E5&lt;0,0,E7-60%*E5)</f>
        <v>0</v>
      </c>
      <c r="H13" s="1089">
        <f>MAX(G13,G15,G17)</f>
        <v>0</v>
      </c>
    </row>
    <row r="14" spans="2:9" x14ac:dyDescent="0.25">
      <c r="E14" s="208"/>
      <c r="G14" s="38"/>
      <c r="H14" s="1089"/>
    </row>
    <row r="15" spans="2:9" ht="31.5" x14ac:dyDescent="0.25">
      <c r="B15" s="1089" t="s">
        <v>727</v>
      </c>
      <c r="C15" s="1089"/>
      <c r="E15" s="281" t="str">
        <f>IF(E7&gt;=50%*E5,"Régle respectée","Régle non respectée ")</f>
        <v>Régle respectée</v>
      </c>
      <c r="G15" s="38">
        <f>IF(E15="Régle respectée",0,50%*E5-E7)</f>
        <v>0</v>
      </c>
      <c r="H15" s="1089"/>
    </row>
    <row r="16" spans="2:9" x14ac:dyDescent="0.25">
      <c r="E16" s="208"/>
      <c r="G16" s="38"/>
      <c r="H16" s="1089"/>
    </row>
    <row r="17" spans="2:8" ht="31.5" x14ac:dyDescent="0.25">
      <c r="B17" s="1089" t="s">
        <v>728</v>
      </c>
      <c r="C17" s="1089"/>
      <c r="E17" s="281" t="str">
        <f>IF(E7&gt;7.26,"Régle non respectée","Régle respectée ")</f>
        <v xml:space="preserve">Régle respectée </v>
      </c>
      <c r="G17" s="38">
        <f>IF(E7&lt;=7.26,0,E7-7.26)</f>
        <v>0</v>
      </c>
      <c r="H17" s="1089"/>
    </row>
    <row r="18" spans="2:8" x14ac:dyDescent="0.25">
      <c r="E18" s="183"/>
      <c r="G18" s="183"/>
    </row>
    <row r="19" spans="2:8" x14ac:dyDescent="0.25">
      <c r="B19" s="1089" t="s">
        <v>717</v>
      </c>
      <c r="C19" s="1089"/>
      <c r="E19" s="38">
        <f>E5-E7</f>
        <v>0</v>
      </c>
      <c r="G19" s="183"/>
    </row>
    <row r="20" spans="2:8" x14ac:dyDescent="0.25">
      <c r="E20" s="183"/>
      <c r="G20" s="183"/>
    </row>
    <row r="21" spans="2:8" x14ac:dyDescent="0.25">
      <c r="B21" s="1089" t="s">
        <v>718</v>
      </c>
      <c r="C21" s="1089"/>
      <c r="E21" s="38">
        <f>E9</f>
        <v>0</v>
      </c>
      <c r="G21" s="183"/>
    </row>
    <row r="22" spans="2:8" x14ac:dyDescent="0.25">
      <c r="E22" s="183"/>
      <c r="G22" s="183"/>
    </row>
    <row r="23" spans="2:8" x14ac:dyDescent="0.25">
      <c r="B23" s="1089" t="s">
        <v>719</v>
      </c>
      <c r="C23" s="1089"/>
      <c r="E23" s="38">
        <f>E7*E21</f>
        <v>0</v>
      </c>
      <c r="G23" s="183"/>
    </row>
    <row r="24" spans="2:8" x14ac:dyDescent="0.25">
      <c r="E24" s="183"/>
      <c r="G24" s="183"/>
    </row>
    <row r="25" spans="2:8" x14ac:dyDescent="0.25">
      <c r="B25" s="1089" t="s">
        <v>720</v>
      </c>
      <c r="C25" s="1089"/>
      <c r="E25" s="38">
        <f>E19*E21</f>
        <v>0</v>
      </c>
      <c r="G25" s="183"/>
    </row>
    <row r="26" spans="2:8" x14ac:dyDescent="0.25">
      <c r="E26" s="183"/>
      <c r="G26" s="183"/>
    </row>
    <row r="27" spans="2:8" x14ac:dyDescent="0.25">
      <c r="B27" s="1089" t="s">
        <v>729</v>
      </c>
      <c r="C27" s="1089"/>
      <c r="E27" s="183"/>
      <c r="G27" s="183"/>
    </row>
    <row r="28" spans="2:8" x14ac:dyDescent="0.25">
      <c r="B28" s="1089"/>
      <c r="C28" s="1089"/>
      <c r="E28" s="1089">
        <f>MAX(G17,G15,G13)*E21</f>
        <v>0</v>
      </c>
      <c r="G28" s="183"/>
    </row>
    <row r="29" spans="2:8" x14ac:dyDescent="0.25">
      <c r="B29" s="1089"/>
      <c r="C29" s="1089"/>
      <c r="E29" s="1089"/>
      <c r="G29" s="183"/>
    </row>
    <row r="30" spans="2:8" x14ac:dyDescent="0.25">
      <c r="B30" s="1089"/>
      <c r="C30" s="1089"/>
      <c r="E30" s="183"/>
      <c r="G30" s="183"/>
    </row>
    <row r="31" spans="2:8" x14ac:dyDescent="0.25">
      <c r="E31" s="183"/>
      <c r="G31" s="183"/>
    </row>
    <row r="32" spans="2:8" x14ac:dyDescent="0.25">
      <c r="E32" s="795"/>
      <c r="G32" s="183"/>
    </row>
    <row r="33" spans="5:7" x14ac:dyDescent="0.25">
      <c r="E33" s="795"/>
      <c r="G33" s="183"/>
    </row>
    <row r="34" spans="5:7" x14ac:dyDescent="0.25">
      <c r="E34" s="795"/>
      <c r="G34" s="183"/>
    </row>
    <row r="35" spans="5:7" x14ac:dyDescent="0.25">
      <c r="E35" s="795"/>
      <c r="G35" s="183"/>
    </row>
    <row r="36" spans="5:7" x14ac:dyDescent="0.25">
      <c r="E36" s="183"/>
      <c r="G36" s="183"/>
    </row>
    <row r="37" spans="5:7" x14ac:dyDescent="0.25">
      <c r="E37" s="183"/>
      <c r="G37" s="183"/>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x14ac:dyDescent="0.3">
      <c r="A1" s="1145" t="s">
        <v>0</v>
      </c>
      <c r="B1" s="1145"/>
      <c r="C1" s="1145"/>
      <c r="D1" s="1146"/>
      <c r="E1" s="296"/>
      <c r="F1" s="1147" t="s">
        <v>1</v>
      </c>
      <c r="G1" s="1148"/>
      <c r="H1" s="1148"/>
      <c r="I1" s="1148"/>
      <c r="J1" s="1149"/>
    </row>
    <row r="2" spans="1:10" ht="15.75" customHeight="1" x14ac:dyDescent="0.3">
      <c r="A2" s="633" t="s">
        <v>311</v>
      </c>
      <c r="B2" s="1150" t="s">
        <v>847</v>
      </c>
      <c r="C2" s="1151"/>
      <c r="D2" s="1152"/>
      <c r="E2" s="298"/>
      <c r="F2" s="299" t="s">
        <v>311</v>
      </c>
      <c r="G2" s="1138" t="s">
        <v>848</v>
      </c>
      <c r="H2" s="1138"/>
      <c r="I2" s="1138"/>
      <c r="J2" s="1138"/>
    </row>
    <row r="3" spans="1:10" ht="15.75" customHeight="1" x14ac:dyDescent="0.3">
      <c r="A3" s="633" t="s">
        <v>312</v>
      </c>
      <c r="B3" s="1150" t="s">
        <v>849</v>
      </c>
      <c r="C3" s="1151"/>
      <c r="D3" s="1152"/>
      <c r="E3" s="298"/>
      <c r="F3" s="299" t="s">
        <v>323</v>
      </c>
      <c r="G3" s="1138" t="s">
        <v>850</v>
      </c>
      <c r="H3" s="1138"/>
      <c r="I3" s="1138"/>
      <c r="J3" s="1138"/>
    </row>
    <row r="4" spans="1:10" ht="15.75" customHeight="1" x14ac:dyDescent="0.3">
      <c r="A4" s="633"/>
      <c r="B4" s="1136"/>
      <c r="C4" s="1137"/>
      <c r="D4" s="1137"/>
      <c r="E4" s="298"/>
      <c r="F4" s="299" t="s">
        <v>324</v>
      </c>
      <c r="G4" s="1138" t="s">
        <v>851</v>
      </c>
      <c r="H4" s="1138"/>
      <c r="I4" s="1138"/>
      <c r="J4" s="1138"/>
    </row>
    <row r="5" spans="1:10" ht="15.75" customHeight="1" x14ac:dyDescent="0.3">
      <c r="A5" s="633" t="s">
        <v>6</v>
      </c>
      <c r="B5" s="1139">
        <v>34464426500029</v>
      </c>
      <c r="C5" s="1140"/>
      <c r="D5" s="1141"/>
      <c r="E5" s="300"/>
      <c r="F5" s="299" t="s">
        <v>852</v>
      </c>
      <c r="G5" s="1142" t="s">
        <v>853</v>
      </c>
      <c r="H5" s="1138"/>
      <c r="I5" s="1138"/>
      <c r="J5" s="1138"/>
    </row>
    <row r="6" spans="1:10" ht="15.75" customHeight="1" x14ac:dyDescent="0.3">
      <c r="A6" s="633" t="s">
        <v>8</v>
      </c>
      <c r="B6" s="1143" t="s">
        <v>854</v>
      </c>
      <c r="C6" s="1140"/>
      <c r="D6" s="1141"/>
      <c r="E6" s="298"/>
      <c r="F6" s="299" t="s">
        <v>855</v>
      </c>
      <c r="G6" s="1144" t="s">
        <v>856</v>
      </c>
      <c r="H6" s="1144"/>
      <c r="I6" s="1144"/>
      <c r="J6" s="1144"/>
    </row>
    <row r="7" spans="1:10" ht="15.75" customHeight="1" x14ac:dyDescent="0.3">
      <c r="A7" s="633" t="s">
        <v>10</v>
      </c>
      <c r="B7" s="889"/>
      <c r="C7" s="890"/>
      <c r="D7" s="891"/>
      <c r="E7" s="300"/>
      <c r="F7" s="301" t="s">
        <v>312</v>
      </c>
      <c r="G7" s="1138" t="s">
        <v>857</v>
      </c>
      <c r="H7" s="1138"/>
      <c r="I7" s="1138"/>
      <c r="J7" s="1138"/>
    </row>
    <row r="8" spans="1:10" ht="15.75" customHeight="1" x14ac:dyDescent="0.3">
      <c r="A8" s="633" t="s">
        <v>11</v>
      </c>
      <c r="B8" s="634">
        <v>60</v>
      </c>
      <c r="C8" s="909"/>
      <c r="D8" s="887"/>
      <c r="E8" s="298"/>
      <c r="F8" s="905" t="s">
        <v>12</v>
      </c>
      <c r="G8" s="906"/>
      <c r="H8" s="303"/>
      <c r="I8" s="304">
        <v>1</v>
      </c>
      <c r="J8" s="304" t="s">
        <v>858</v>
      </c>
    </row>
    <row r="9" spans="1:10" ht="23.45" customHeight="1" x14ac:dyDescent="0.3">
      <c r="A9" s="635" t="s">
        <v>13</v>
      </c>
      <c r="B9" s="636">
        <v>151.66999999999999</v>
      </c>
      <c r="C9" s="309" t="s">
        <v>14</v>
      </c>
      <c r="D9" s="637">
        <v>11.88</v>
      </c>
      <c r="E9" s="298"/>
      <c r="F9" s="870" t="s">
        <v>859</v>
      </c>
      <c r="G9" s="872"/>
      <c r="H9" s="638">
        <v>45658</v>
      </c>
      <c r="I9" s="639" t="s">
        <v>860</v>
      </c>
      <c r="J9" s="638">
        <v>45688</v>
      </c>
    </row>
    <row r="10" spans="1:10" ht="26.25" customHeight="1" x14ac:dyDescent="0.3">
      <c r="A10" s="612"/>
      <c r="B10" s="1133"/>
      <c r="C10" s="1134"/>
      <c r="D10" s="1135"/>
      <c r="E10" s="310"/>
      <c r="F10" s="309" t="s">
        <v>16</v>
      </c>
      <c r="G10" s="640">
        <v>45688</v>
      </c>
      <c r="H10" s="61"/>
      <c r="I10" s="61"/>
      <c r="J10" s="362"/>
    </row>
    <row r="11" spans="1:10" ht="13.9" customHeight="1" x14ac:dyDescent="0.3">
      <c r="A11" s="1132"/>
      <c r="B11" s="1132"/>
      <c r="C11" s="1132"/>
      <c r="D11" s="1132"/>
      <c r="E11" s="1132"/>
      <c r="F11" s="1132"/>
      <c r="G11" s="1132"/>
      <c r="H11" s="1132"/>
      <c r="I11" s="1132"/>
      <c r="J11" s="1132"/>
    </row>
    <row r="12" spans="1:10" ht="15.75" customHeight="1" x14ac:dyDescent="0.3">
      <c r="A12" s="871" t="s">
        <v>17</v>
      </c>
      <c r="B12" s="871"/>
      <c r="C12" s="871"/>
      <c r="D12" s="871"/>
      <c r="E12" s="871"/>
      <c r="F12" s="872"/>
      <c r="G12" s="312">
        <v>151.66999999999999</v>
      </c>
      <c r="H12" s="309" t="s">
        <v>18</v>
      </c>
      <c r="I12" s="313">
        <f>J12/G12</f>
        <v>20.456055910859106</v>
      </c>
      <c r="J12" s="314">
        <v>3102.57</v>
      </c>
    </row>
    <row r="13" spans="1:10" ht="15.75" hidden="1" customHeight="1" x14ac:dyDescent="0.3">
      <c r="A13" s="871" t="s">
        <v>228</v>
      </c>
      <c r="B13" s="871"/>
      <c r="C13" s="871"/>
      <c r="D13" s="871"/>
      <c r="E13" s="871"/>
      <c r="F13" s="872"/>
      <c r="G13" s="309"/>
      <c r="H13" s="309"/>
      <c r="I13" s="313"/>
      <c r="J13" s="314"/>
    </row>
    <row r="14" spans="1:10" ht="15" customHeight="1" x14ac:dyDescent="0.3">
      <c r="A14" s="871" t="s">
        <v>400</v>
      </c>
      <c r="B14" s="871"/>
      <c r="C14" s="871"/>
      <c r="D14" s="871"/>
      <c r="E14" s="871"/>
      <c r="F14" s="872"/>
      <c r="G14" s="315"/>
      <c r="H14" s="316"/>
      <c r="I14" s="313"/>
      <c r="J14" s="314"/>
    </row>
    <row r="15" spans="1:10" ht="15.75" hidden="1" customHeight="1" x14ac:dyDescent="0.3">
      <c r="A15" s="871" t="s">
        <v>861</v>
      </c>
      <c r="B15" s="871"/>
      <c r="C15" s="871"/>
      <c r="D15" s="871"/>
      <c r="E15" s="871"/>
      <c r="F15" s="872"/>
      <c r="G15" s="315"/>
      <c r="H15" s="316"/>
      <c r="I15" s="313"/>
      <c r="J15" s="314"/>
    </row>
    <row r="16" spans="1:10" ht="15.75" hidden="1" customHeight="1" x14ac:dyDescent="0.3">
      <c r="A16" s="871" t="s">
        <v>19</v>
      </c>
      <c r="B16" s="871"/>
      <c r="C16" s="871"/>
      <c r="D16" s="871"/>
      <c r="E16" s="871"/>
      <c r="F16" s="872"/>
      <c r="G16" s="315"/>
      <c r="H16" s="316" t="s">
        <v>18</v>
      </c>
      <c r="I16" s="313"/>
      <c r="J16" s="314"/>
    </row>
    <row r="17" spans="1:10" ht="15.75" hidden="1" customHeight="1" x14ac:dyDescent="0.3">
      <c r="A17" s="871" t="s">
        <v>229</v>
      </c>
      <c r="B17" s="871"/>
      <c r="C17" s="871"/>
      <c r="D17" s="871"/>
      <c r="E17" s="871"/>
      <c r="F17" s="872"/>
      <c r="G17" s="315"/>
      <c r="H17" s="316" t="s">
        <v>18</v>
      </c>
      <c r="I17" s="313"/>
      <c r="J17" s="314"/>
    </row>
    <row r="18" spans="1:10" ht="15.75" hidden="1" customHeight="1" x14ac:dyDescent="0.3">
      <c r="A18" s="871" t="s">
        <v>230</v>
      </c>
      <c r="B18" s="871"/>
      <c r="C18" s="871"/>
      <c r="D18" s="871"/>
      <c r="E18" s="871"/>
      <c r="F18" s="872"/>
      <c r="G18" s="315"/>
      <c r="H18" s="316" t="s">
        <v>18</v>
      </c>
      <c r="I18" s="313"/>
      <c r="J18" s="314"/>
    </row>
    <row r="19" spans="1:10" ht="15.75" hidden="1" customHeight="1" x14ac:dyDescent="0.3">
      <c r="A19" s="871" t="s">
        <v>231</v>
      </c>
      <c r="B19" s="871"/>
      <c r="C19" s="871"/>
      <c r="D19" s="871"/>
      <c r="E19" s="871"/>
      <c r="F19" s="872"/>
      <c r="G19" s="315"/>
      <c r="H19" s="316" t="s">
        <v>18</v>
      </c>
      <c r="I19" s="313"/>
      <c r="J19" s="314"/>
    </row>
    <row r="20" spans="1:10" ht="15.75" hidden="1" customHeight="1" x14ac:dyDescent="0.3">
      <c r="A20" s="871" t="s">
        <v>232</v>
      </c>
      <c r="B20" s="871"/>
      <c r="C20" s="871"/>
      <c r="D20" s="871"/>
      <c r="E20" s="871"/>
      <c r="F20" s="872"/>
      <c r="G20" s="435" t="e">
        <f>'[4]Masque de Saisie'!E47</f>
        <v>#REF!</v>
      </c>
      <c r="H20" s="316" t="s">
        <v>18</v>
      </c>
      <c r="I20" s="313">
        <f>ROUND(((J12+J15)*1.25/G12),6)</f>
        <v>25.570070000000001</v>
      </c>
      <c r="J20" s="314"/>
    </row>
    <row r="21" spans="1:10" ht="15.75" hidden="1" customHeight="1" x14ac:dyDescent="0.3">
      <c r="A21" s="871" t="s">
        <v>233</v>
      </c>
      <c r="B21" s="871"/>
      <c r="C21" s="871"/>
      <c r="D21" s="871"/>
      <c r="E21" s="871"/>
      <c r="F21" s="872"/>
      <c r="G21" s="315"/>
      <c r="H21" s="316" t="s">
        <v>20</v>
      </c>
      <c r="I21" s="309"/>
      <c r="J21" s="314"/>
    </row>
    <row r="22" spans="1:10" ht="15.75" hidden="1" customHeight="1" x14ac:dyDescent="0.3">
      <c r="A22" s="871" t="s">
        <v>862</v>
      </c>
      <c r="B22" s="871"/>
      <c r="C22" s="871"/>
      <c r="D22" s="871"/>
      <c r="E22" s="871"/>
      <c r="F22" s="872"/>
      <c r="G22" s="311"/>
      <c r="H22" s="317"/>
      <c r="I22" s="305"/>
      <c r="J22" s="318"/>
    </row>
    <row r="23" spans="1:10" ht="15.75" hidden="1" customHeight="1" x14ac:dyDescent="0.3">
      <c r="A23" s="871" t="s">
        <v>21</v>
      </c>
      <c r="B23" s="871"/>
      <c r="C23" s="871"/>
      <c r="D23" s="871"/>
      <c r="E23" s="871"/>
      <c r="F23" s="872"/>
      <c r="G23" s="311"/>
      <c r="H23" s="317"/>
      <c r="I23" s="305"/>
      <c r="J23" s="318"/>
    </row>
    <row r="24" spans="1:10" ht="15.75" hidden="1" customHeight="1" x14ac:dyDescent="0.3">
      <c r="A24" s="871" t="s">
        <v>22</v>
      </c>
      <c r="B24" s="871"/>
      <c r="C24" s="871"/>
      <c r="D24" s="871"/>
      <c r="E24" s="871"/>
      <c r="F24" s="872"/>
      <c r="G24" s="311"/>
      <c r="H24" s="317"/>
      <c r="I24" s="305"/>
      <c r="J24" s="318"/>
    </row>
    <row r="25" spans="1:10" ht="15.75" hidden="1" customHeight="1" x14ac:dyDescent="0.3">
      <c r="A25" s="871" t="s">
        <v>23</v>
      </c>
      <c r="B25" s="871"/>
      <c r="C25" s="871"/>
      <c r="D25" s="871"/>
      <c r="E25" s="871"/>
      <c r="F25" s="872"/>
      <c r="G25" s="311"/>
      <c r="H25" s="317"/>
      <c r="I25" s="305"/>
      <c r="J25" s="318"/>
    </row>
    <row r="26" spans="1:10" ht="15.75" hidden="1" customHeight="1" x14ac:dyDescent="0.3">
      <c r="A26" s="871" t="s">
        <v>24</v>
      </c>
      <c r="B26" s="871"/>
      <c r="C26" s="871"/>
      <c r="D26" s="871"/>
      <c r="E26" s="871"/>
      <c r="F26" s="872"/>
      <c r="G26" s="311"/>
      <c r="H26" s="317"/>
      <c r="I26" s="305"/>
      <c r="J26" s="318"/>
    </row>
    <row r="27" spans="1:10" ht="15.75" hidden="1" customHeight="1" x14ac:dyDescent="0.3">
      <c r="A27" s="871" t="s">
        <v>25</v>
      </c>
      <c r="B27" s="871"/>
      <c r="C27" s="871"/>
      <c r="D27" s="871"/>
      <c r="E27" s="871"/>
      <c r="F27" s="872"/>
      <c r="G27" s="311"/>
      <c r="H27" s="317"/>
      <c r="I27" s="305"/>
      <c r="J27" s="318"/>
    </row>
    <row r="28" spans="1:10" ht="15.75" hidden="1" customHeight="1" x14ac:dyDescent="0.3">
      <c r="A28" s="871" t="s">
        <v>26</v>
      </c>
      <c r="B28" s="871"/>
      <c r="C28" s="871"/>
      <c r="D28" s="871"/>
      <c r="E28" s="871"/>
      <c r="F28" s="872"/>
      <c r="G28" s="311"/>
      <c r="H28" s="317"/>
      <c r="I28" s="305"/>
      <c r="J28" s="318"/>
    </row>
    <row r="29" spans="1:10" ht="15.75" hidden="1" customHeight="1" x14ac:dyDescent="0.3">
      <c r="A29" s="871" t="s">
        <v>27</v>
      </c>
      <c r="B29" s="871"/>
      <c r="C29" s="871"/>
      <c r="D29" s="871"/>
      <c r="E29" s="871"/>
      <c r="F29" s="872"/>
      <c r="G29" s="311"/>
      <c r="H29" s="317"/>
      <c r="I29" s="305"/>
      <c r="J29" s="318"/>
    </row>
    <row r="30" spans="1:10" ht="15.75" hidden="1" customHeight="1" x14ac:dyDescent="0.3">
      <c r="A30" s="871" t="s">
        <v>28</v>
      </c>
      <c r="B30" s="871"/>
      <c r="C30" s="871"/>
      <c r="D30" s="871"/>
      <c r="E30" s="871"/>
      <c r="F30" s="872"/>
      <c r="G30" s="311"/>
      <c r="H30" s="317"/>
      <c r="I30" s="305"/>
      <c r="J30" s="318"/>
    </row>
    <row r="31" spans="1:10" ht="15.75" hidden="1" customHeight="1" x14ac:dyDescent="0.3">
      <c r="A31" s="871"/>
      <c r="B31" s="871"/>
      <c r="C31" s="871"/>
      <c r="D31" s="871"/>
      <c r="E31" s="871"/>
      <c r="F31" s="872"/>
      <c r="G31" s="311"/>
      <c r="H31" s="317"/>
      <c r="I31" s="305"/>
      <c r="J31" s="318"/>
    </row>
    <row r="32" spans="1:10" ht="15.75" customHeight="1" x14ac:dyDescent="0.3">
      <c r="A32" s="1126" t="s">
        <v>29</v>
      </c>
      <c r="B32" s="1126"/>
      <c r="C32" s="637">
        <v>3925</v>
      </c>
      <c r="D32" s="1127" t="s">
        <v>30</v>
      </c>
      <c r="E32" s="1128"/>
      <c r="F32" s="1128"/>
      <c r="G32" s="1128"/>
      <c r="H32" s="1128"/>
      <c r="I32" s="1129"/>
      <c r="J32" s="641">
        <f>J12</f>
        <v>3102.57</v>
      </c>
    </row>
    <row r="33" spans="1:12" ht="14.25" customHeight="1" x14ac:dyDescent="0.3">
      <c r="A33" s="1130"/>
      <c r="B33" s="1130"/>
      <c r="C33" s="1130"/>
      <c r="D33" s="1130"/>
      <c r="E33" s="1130"/>
      <c r="F33" s="1130"/>
      <c r="G33" s="1130"/>
      <c r="H33" s="1130"/>
      <c r="I33" s="1130"/>
      <c r="J33" s="1131"/>
    </row>
    <row r="34" spans="1:12" ht="45.6" customHeight="1" x14ac:dyDescent="0.3">
      <c r="A34" s="916" t="s">
        <v>282</v>
      </c>
      <c r="B34" s="917"/>
      <c r="C34" s="1094" t="s">
        <v>32</v>
      </c>
      <c r="D34" s="1094"/>
      <c r="E34" s="355" t="s">
        <v>33</v>
      </c>
      <c r="F34" s="355" t="s">
        <v>34</v>
      </c>
      <c r="G34" s="1094" t="s">
        <v>35</v>
      </c>
      <c r="H34" s="1094"/>
      <c r="I34" s="1094" t="s">
        <v>36</v>
      </c>
      <c r="J34" s="1094"/>
    </row>
    <row r="35" spans="1:12" ht="19.899999999999999" customHeight="1" x14ac:dyDescent="0.3">
      <c r="A35" s="1124" t="s">
        <v>37</v>
      </c>
      <c r="B35" s="1125"/>
      <c r="C35" s="969"/>
      <c r="D35" s="969"/>
      <c r="E35" s="969"/>
      <c r="F35" s="969"/>
      <c r="G35" s="969"/>
      <c r="H35" s="969"/>
      <c r="I35" s="969"/>
      <c r="J35" s="969"/>
    </row>
    <row r="36" spans="1:12" ht="30.6" customHeight="1" x14ac:dyDescent="0.3">
      <c r="A36" s="861" t="s">
        <v>265</v>
      </c>
      <c r="B36" s="860"/>
      <c r="C36" s="1097">
        <f>J32</f>
        <v>3102.57</v>
      </c>
      <c r="D36" s="1097"/>
      <c r="E36" s="643"/>
      <c r="F36" s="644">
        <f>VLOOKUP(A36,TABLETAUX1,4,FALSE)</f>
        <v>7.0000000000000007E-2</v>
      </c>
      <c r="G36" s="1097">
        <f>ROUND(C36*E36,2)</f>
        <v>0</v>
      </c>
      <c r="H36" s="1097"/>
      <c r="I36" s="1097">
        <f>ROUND(C36*F36,2)</f>
        <v>217.18</v>
      </c>
      <c r="J36" s="1097"/>
    </row>
    <row r="37" spans="1:12" ht="30.6" customHeight="1" x14ac:dyDescent="0.3">
      <c r="A37" s="861" t="s">
        <v>199</v>
      </c>
      <c r="B37" s="860"/>
      <c r="C37" s="1097"/>
      <c r="D37" s="1097"/>
      <c r="E37" s="643"/>
      <c r="F37" s="644">
        <f>VLOOKUP(A37,TABLETAUX1,4,FALSE)</f>
        <v>0.06</v>
      </c>
      <c r="G37" s="1097">
        <f t="shared" ref="G37:G41" si="0">ROUND(C37*E37,2)</f>
        <v>0</v>
      </c>
      <c r="H37" s="1097"/>
      <c r="I37" s="1097">
        <f t="shared" ref="I37:I41" si="1">ROUND(C37*F37,2)</f>
        <v>0</v>
      </c>
      <c r="J37" s="1097"/>
    </row>
    <row r="38" spans="1:12" ht="30.75" hidden="1" customHeight="1" x14ac:dyDescent="0.3">
      <c r="A38" s="928"/>
      <c r="B38" s="928"/>
      <c r="C38" s="1097"/>
      <c r="D38" s="1097"/>
      <c r="E38" s="645"/>
      <c r="F38" s="644"/>
      <c r="G38" s="1097">
        <f t="shared" si="0"/>
        <v>0</v>
      </c>
      <c r="H38" s="1097"/>
      <c r="I38" s="1097">
        <f t="shared" si="1"/>
        <v>0</v>
      </c>
      <c r="J38" s="1097"/>
    </row>
    <row r="39" spans="1:12" ht="22.9" customHeight="1" x14ac:dyDescent="0.3">
      <c r="A39" s="861" t="s">
        <v>243</v>
      </c>
      <c r="B39" s="860"/>
      <c r="C39" s="1097">
        <f>J32</f>
        <v>3102.57</v>
      </c>
      <c r="D39" s="1097"/>
      <c r="E39" s="643">
        <f>VLOOKUP(A39,TABLETAUX1,3,FALSE)</f>
        <v>0.01</v>
      </c>
      <c r="F39" s="644">
        <f>VLOOKUP(A39,TABLETAUX1,4,FALSE)</f>
        <v>1.7999999999999999E-2</v>
      </c>
      <c r="G39" s="1097">
        <f t="shared" si="0"/>
        <v>31.03</v>
      </c>
      <c r="H39" s="1097"/>
      <c r="I39" s="1097">
        <f t="shared" si="1"/>
        <v>55.85</v>
      </c>
      <c r="J39" s="1097"/>
    </row>
    <row r="40" spans="1:12" ht="22.9" customHeight="1" x14ac:dyDescent="0.3">
      <c r="A40" s="859" t="s">
        <v>200</v>
      </c>
      <c r="B40" s="1123"/>
      <c r="C40" s="1109"/>
      <c r="D40" s="1109"/>
      <c r="E40" s="643"/>
      <c r="F40" s="644"/>
      <c r="G40" s="1097">
        <f t="shared" si="0"/>
        <v>0</v>
      </c>
      <c r="H40" s="1097"/>
      <c r="I40" s="1097">
        <f t="shared" si="1"/>
        <v>0</v>
      </c>
      <c r="J40" s="1097"/>
    </row>
    <row r="41" spans="1:12" ht="20.45" customHeight="1" x14ac:dyDescent="0.3">
      <c r="A41" s="861" t="s">
        <v>195</v>
      </c>
      <c r="B41" s="860"/>
      <c r="C41" s="1109"/>
      <c r="D41" s="1109"/>
      <c r="E41" s="643">
        <f>VLOOKUP(A41,TABLETAUX1,3,FALSE)</f>
        <v>1.12E-2</v>
      </c>
      <c r="F41" s="644">
        <f>VLOOKUP(A41,TABLETAUX1,4,FALSE)</f>
        <v>1.6799999999999999E-2</v>
      </c>
      <c r="G41" s="1097">
        <f t="shared" si="0"/>
        <v>0</v>
      </c>
      <c r="H41" s="1097"/>
      <c r="I41" s="1097">
        <f t="shared" si="1"/>
        <v>0</v>
      </c>
      <c r="J41" s="1097"/>
    </row>
    <row r="42" spans="1:12" ht="22.9" hidden="1" customHeight="1" x14ac:dyDescent="0.3">
      <c r="A42" s="861"/>
      <c r="B42" s="860"/>
      <c r="C42" s="1109"/>
      <c r="D42" s="1109"/>
      <c r="E42" s="643"/>
      <c r="F42" s="644"/>
      <c r="G42" s="1109"/>
      <c r="H42" s="1109"/>
      <c r="I42" s="1109"/>
      <c r="J42" s="1109"/>
    </row>
    <row r="43" spans="1:12" ht="22.9" hidden="1" customHeight="1" x14ac:dyDescent="0.3">
      <c r="A43" s="1122"/>
      <c r="B43" s="1122"/>
      <c r="C43" s="1109"/>
      <c r="D43" s="1109"/>
      <c r="E43" s="643"/>
      <c r="F43" s="644"/>
      <c r="G43" s="1109"/>
      <c r="H43" s="1109"/>
      <c r="I43" s="1109"/>
      <c r="J43" s="1109"/>
    </row>
    <row r="44" spans="1:12" ht="22.9" customHeight="1" x14ac:dyDescent="0.3">
      <c r="A44" s="1121" t="s">
        <v>38</v>
      </c>
      <c r="B44" s="1121"/>
      <c r="C44" s="1120"/>
      <c r="D44" s="1120"/>
      <c r="E44" s="643"/>
      <c r="F44" s="646"/>
      <c r="G44" s="1097"/>
      <c r="H44" s="1097"/>
      <c r="I44" s="1097"/>
      <c r="J44" s="1097"/>
    </row>
    <row r="45" spans="1:12" ht="19.899999999999999" customHeight="1" x14ac:dyDescent="0.3">
      <c r="A45" s="1121" t="s">
        <v>39</v>
      </c>
      <c r="B45" s="1121"/>
      <c r="C45" s="1120"/>
      <c r="D45" s="1120"/>
      <c r="E45" s="643"/>
      <c r="F45" s="646"/>
      <c r="G45" s="1097"/>
      <c r="H45" s="1097"/>
      <c r="I45" s="1097"/>
      <c r="J45" s="1097"/>
    </row>
    <row r="46" spans="1:12" ht="28.15" customHeight="1" x14ac:dyDescent="0.3">
      <c r="A46" s="908" t="s">
        <v>40</v>
      </c>
      <c r="B46" s="908"/>
      <c r="C46" s="1120"/>
      <c r="D46" s="1120"/>
      <c r="E46" s="643"/>
      <c r="F46" s="646"/>
      <c r="G46" s="1097"/>
      <c r="H46" s="1097"/>
      <c r="I46" s="1097"/>
      <c r="J46" s="1097"/>
    </row>
    <row r="47" spans="1:12" ht="28.15" customHeight="1" x14ac:dyDescent="0.3">
      <c r="A47" s="908" t="s">
        <v>41</v>
      </c>
      <c r="B47" s="908"/>
      <c r="C47" s="1097"/>
      <c r="D47" s="1097"/>
      <c r="E47" s="643"/>
      <c r="F47" s="646"/>
      <c r="G47" s="1097"/>
      <c r="H47" s="1097"/>
      <c r="I47" s="1097"/>
      <c r="J47" s="1097"/>
    </row>
    <row r="48" spans="1:12" ht="28.15" customHeight="1" x14ac:dyDescent="0.3">
      <c r="A48" s="908" t="s">
        <v>42</v>
      </c>
      <c r="B48" s="908"/>
      <c r="C48" s="1097"/>
      <c r="D48" s="1097"/>
      <c r="E48" s="647"/>
      <c r="F48" s="646"/>
      <c r="G48" s="1097"/>
      <c r="H48" s="1097"/>
      <c r="I48" s="1097"/>
      <c r="J48" s="1097"/>
      <c r="K48" s="939"/>
      <c r="L48" s="939"/>
    </row>
    <row r="49" spans="1:14" ht="28.15" customHeight="1" x14ac:dyDescent="0.3">
      <c r="A49" s="908" t="s">
        <v>43</v>
      </c>
      <c r="B49" s="908"/>
      <c r="C49" s="1118"/>
      <c r="D49" s="1118"/>
      <c r="E49" s="648"/>
      <c r="F49" s="646"/>
      <c r="G49" s="1097"/>
      <c r="H49" s="1097"/>
      <c r="I49" s="1097"/>
      <c r="J49" s="1097"/>
      <c r="K49" s="221"/>
      <c r="L49" s="222"/>
      <c r="M49" s="223"/>
      <c r="N49" s="222"/>
    </row>
    <row r="50" spans="1:14" ht="28.15" customHeight="1" x14ac:dyDescent="0.3">
      <c r="A50" s="1044" t="s">
        <v>74</v>
      </c>
      <c r="B50" s="1119"/>
      <c r="C50" s="1118"/>
      <c r="D50" s="1118"/>
      <c r="E50" s="648"/>
      <c r="F50" s="646"/>
      <c r="G50" s="1097"/>
      <c r="H50" s="1097"/>
      <c r="I50" s="1097"/>
      <c r="J50" s="1097"/>
      <c r="K50" s="221"/>
      <c r="L50" s="222"/>
      <c r="M50" s="223"/>
      <c r="N50" s="222"/>
    </row>
    <row r="51" spans="1:14" ht="28.15" customHeight="1" x14ac:dyDescent="0.3">
      <c r="A51" s="1044" t="s">
        <v>75</v>
      </c>
      <c r="B51" s="1119"/>
      <c r="C51" s="1118"/>
      <c r="D51" s="1118"/>
      <c r="E51" s="648"/>
      <c r="F51" s="646"/>
      <c r="G51" s="1097"/>
      <c r="H51" s="1097"/>
      <c r="I51" s="1097"/>
      <c r="J51" s="1097"/>
      <c r="K51" s="221"/>
      <c r="L51" s="222"/>
      <c r="M51" s="223"/>
      <c r="N51" s="222"/>
    </row>
    <row r="52" spans="1:14" ht="28.15" customHeight="1" x14ac:dyDescent="0.3">
      <c r="A52" s="1044" t="s">
        <v>76</v>
      </c>
      <c r="B52" s="1119"/>
      <c r="C52" s="1118"/>
      <c r="D52" s="1118"/>
      <c r="E52" s="648"/>
      <c r="F52" s="646"/>
      <c r="G52" s="1097"/>
      <c r="H52" s="1097"/>
      <c r="I52" s="1097"/>
      <c r="J52" s="1097"/>
      <c r="K52" s="221"/>
      <c r="L52" s="222"/>
      <c r="M52" s="223"/>
      <c r="N52" s="222"/>
    </row>
    <row r="53" spans="1:14" ht="28.15" customHeight="1" x14ac:dyDescent="0.3">
      <c r="A53" s="1044" t="s">
        <v>77</v>
      </c>
      <c r="B53" s="1119"/>
      <c r="C53" s="1118"/>
      <c r="D53" s="1118"/>
      <c r="E53" s="648"/>
      <c r="F53" s="646"/>
      <c r="G53" s="1097"/>
      <c r="H53" s="1097"/>
      <c r="I53" s="1097"/>
      <c r="J53" s="1097"/>
      <c r="K53" s="221"/>
      <c r="L53" s="222"/>
      <c r="M53" s="223"/>
      <c r="N53" s="222"/>
    </row>
    <row r="54" spans="1:14" ht="22.9" customHeight="1" x14ac:dyDescent="0.3">
      <c r="A54" s="1112" t="s">
        <v>44</v>
      </c>
      <c r="B54" s="1112"/>
      <c r="C54" s="1118"/>
      <c r="D54" s="1118"/>
      <c r="E54" s="648"/>
      <c r="F54" s="646"/>
      <c r="G54" s="1097"/>
      <c r="H54" s="1097"/>
      <c r="I54" s="1097"/>
      <c r="J54" s="1097"/>
      <c r="K54" s="224"/>
      <c r="M54" s="225"/>
      <c r="N54" s="216"/>
    </row>
    <row r="55" spans="1:14" ht="22.9" customHeight="1" x14ac:dyDescent="0.3">
      <c r="A55" s="908" t="s">
        <v>244</v>
      </c>
      <c r="B55" s="908"/>
      <c r="C55" s="1097"/>
      <c r="D55" s="1097"/>
      <c r="E55" s="649"/>
      <c r="F55" s="646"/>
      <c r="G55" s="1097"/>
      <c r="H55" s="1097"/>
      <c r="I55" s="1097"/>
      <c r="J55" s="1097"/>
      <c r="K55" s="224"/>
      <c r="M55" s="225"/>
      <c r="N55" s="216"/>
    </row>
    <row r="56" spans="1:14" ht="22.9" customHeight="1" x14ac:dyDescent="0.3">
      <c r="A56" s="908" t="s">
        <v>245</v>
      </c>
      <c r="B56" s="908"/>
      <c r="C56" s="1097"/>
      <c r="D56" s="1097"/>
      <c r="E56" s="649"/>
      <c r="F56" s="646"/>
      <c r="G56" s="1097"/>
      <c r="H56" s="1097"/>
      <c r="I56" s="1097"/>
      <c r="J56" s="1097"/>
      <c r="K56" s="224"/>
      <c r="M56" s="225"/>
      <c r="N56" s="216"/>
    </row>
    <row r="57" spans="1:14" ht="22.9" customHeight="1" x14ac:dyDescent="0.3">
      <c r="A57" s="1112" t="s">
        <v>45</v>
      </c>
      <c r="B57" s="1112"/>
      <c r="C57" s="1097"/>
      <c r="D57" s="1097"/>
      <c r="E57" s="648"/>
      <c r="F57" s="646"/>
      <c r="G57" s="1097"/>
      <c r="H57" s="1097"/>
      <c r="I57" s="1097"/>
      <c r="J57" s="1097"/>
      <c r="K57" s="224"/>
      <c r="L57" s="227"/>
    </row>
    <row r="58" spans="1:14" ht="22.9" customHeight="1" x14ac:dyDescent="0.3">
      <c r="A58" s="908" t="s">
        <v>863</v>
      </c>
      <c r="B58" s="908"/>
      <c r="C58" s="1097"/>
      <c r="D58" s="1097"/>
      <c r="E58" s="648"/>
      <c r="F58" s="646"/>
      <c r="G58" s="1097"/>
      <c r="H58" s="1097"/>
      <c r="I58" s="1097"/>
      <c r="J58" s="1097"/>
      <c r="K58" s="224"/>
      <c r="L58" s="227"/>
    </row>
    <row r="59" spans="1:14" ht="22.9" customHeight="1" x14ac:dyDescent="0.3">
      <c r="A59" s="908" t="s">
        <v>271</v>
      </c>
      <c r="B59" s="908"/>
      <c r="C59" s="1097"/>
      <c r="D59" s="1097"/>
      <c r="E59" s="650"/>
      <c r="F59" s="646"/>
      <c r="G59" s="1097"/>
      <c r="H59" s="1097"/>
      <c r="I59" s="1116"/>
      <c r="J59" s="1117"/>
      <c r="K59" s="224"/>
      <c r="L59" s="227"/>
    </row>
    <row r="60" spans="1:14" ht="22.9" customHeight="1" x14ac:dyDescent="0.3">
      <c r="A60" s="1112" t="s">
        <v>818</v>
      </c>
      <c r="B60" s="1112"/>
      <c r="C60" s="1097"/>
      <c r="D60" s="1097"/>
      <c r="E60" s="642"/>
      <c r="F60" s="646"/>
      <c r="G60" s="1097"/>
      <c r="H60" s="1097"/>
      <c r="I60" s="1097"/>
      <c r="J60" s="1097"/>
      <c r="K60" s="224"/>
      <c r="L60" s="218"/>
    </row>
    <row r="61" spans="1:14" ht="22.9" customHeight="1" x14ac:dyDescent="0.3">
      <c r="A61" s="1114" t="s">
        <v>47</v>
      </c>
      <c r="B61" s="1115"/>
      <c r="C61" s="1097"/>
      <c r="D61" s="1097"/>
      <c r="E61" s="651"/>
      <c r="F61" s="652"/>
      <c r="G61" s="1103"/>
      <c r="H61" s="1104"/>
      <c r="I61" s="1097"/>
      <c r="J61" s="1097"/>
    </row>
    <row r="62" spans="1:14" ht="22.9" customHeight="1" x14ac:dyDescent="0.3">
      <c r="A62" s="943" t="s">
        <v>48</v>
      </c>
      <c r="B62" s="943"/>
      <c r="C62" s="1097"/>
      <c r="D62" s="1097"/>
      <c r="E62" s="642"/>
      <c r="F62" s="655"/>
      <c r="G62" s="1103"/>
      <c r="H62" s="1104"/>
      <c r="I62" s="1097"/>
      <c r="J62" s="1097"/>
    </row>
    <row r="63" spans="1:14" ht="22.9" customHeight="1" x14ac:dyDescent="0.3">
      <c r="A63" s="943" t="s">
        <v>49</v>
      </c>
      <c r="B63" s="943"/>
      <c r="C63" s="1097"/>
      <c r="D63" s="1097"/>
      <c r="E63" s="642"/>
      <c r="F63" s="655"/>
      <c r="G63" s="1103"/>
      <c r="H63" s="1104"/>
      <c r="I63" s="1097"/>
      <c r="J63" s="1097"/>
    </row>
    <row r="64" spans="1:14" ht="22.9" customHeight="1" x14ac:dyDescent="0.3">
      <c r="A64" s="943" t="s">
        <v>50</v>
      </c>
      <c r="B64" s="943"/>
      <c r="C64" s="1097"/>
      <c r="D64" s="1097"/>
      <c r="E64" s="642"/>
      <c r="F64" s="655"/>
      <c r="G64" s="1103"/>
      <c r="H64" s="1104"/>
      <c r="I64" s="1103"/>
      <c r="J64" s="1104"/>
    </row>
    <row r="65" spans="1:10" ht="22.9" customHeight="1" x14ac:dyDescent="0.3">
      <c r="A65" s="943" t="s">
        <v>51</v>
      </c>
      <c r="B65" s="943"/>
      <c r="C65" s="1097"/>
      <c r="D65" s="1097"/>
      <c r="E65" s="642"/>
      <c r="F65" s="655"/>
      <c r="G65" s="1097"/>
      <c r="H65" s="1097"/>
      <c r="I65" s="1097"/>
      <c r="J65" s="1097"/>
    </row>
    <row r="66" spans="1:10" ht="22.9" customHeight="1" x14ac:dyDescent="0.3">
      <c r="A66" s="943" t="s">
        <v>52</v>
      </c>
      <c r="B66" s="943"/>
      <c r="C66" s="1097"/>
      <c r="D66" s="1097"/>
      <c r="E66" s="642"/>
      <c r="F66" s="655"/>
      <c r="G66" s="1097"/>
      <c r="H66" s="1097"/>
      <c r="I66" s="1097"/>
      <c r="J66" s="1097"/>
    </row>
    <row r="67" spans="1:10" ht="22.9" customHeight="1" x14ac:dyDescent="0.3">
      <c r="A67" s="1112" t="s">
        <v>274</v>
      </c>
      <c r="B67" s="1113"/>
      <c r="C67" s="1103"/>
      <c r="D67" s="1104"/>
      <c r="E67" s="656"/>
      <c r="F67" s="655"/>
      <c r="G67" s="1097"/>
      <c r="H67" s="1097"/>
      <c r="I67" s="1097"/>
      <c r="J67" s="1097"/>
    </row>
    <row r="68" spans="1:10" ht="27.6" customHeight="1" x14ac:dyDescent="0.3">
      <c r="A68" s="943" t="s">
        <v>53</v>
      </c>
      <c r="B68" s="943"/>
      <c r="C68" s="1103"/>
      <c r="D68" s="1104"/>
      <c r="E68" s="657"/>
      <c r="F68" s="655"/>
      <c r="G68" s="1110"/>
      <c r="H68" s="1110"/>
      <c r="I68" s="1097"/>
      <c r="J68" s="1097"/>
    </row>
    <row r="69" spans="1:10" ht="22.9" customHeight="1" x14ac:dyDescent="0.3">
      <c r="A69" s="943" t="s">
        <v>54</v>
      </c>
      <c r="B69" s="943"/>
      <c r="C69" s="1103"/>
      <c r="D69" s="1104"/>
      <c r="E69" s="653"/>
      <c r="F69" s="655"/>
      <c r="G69" s="1111"/>
      <c r="H69" s="1111"/>
      <c r="I69" s="1097"/>
      <c r="J69" s="1097"/>
    </row>
    <row r="70" spans="1:10" ht="22.9" customHeight="1" x14ac:dyDescent="0.3">
      <c r="A70" s="944" t="s">
        <v>246</v>
      </c>
      <c r="B70" s="945"/>
      <c r="C70" s="1103"/>
      <c r="D70" s="1104"/>
      <c r="E70" s="653"/>
      <c r="F70" s="655"/>
      <c r="G70" s="1097"/>
      <c r="H70" s="1097"/>
      <c r="I70" s="1097"/>
      <c r="J70" s="1097"/>
    </row>
    <row r="71" spans="1:10" ht="22.9" customHeight="1" x14ac:dyDescent="0.3">
      <c r="A71" s="943" t="s">
        <v>247</v>
      </c>
      <c r="B71" s="943"/>
      <c r="C71" s="1103"/>
      <c r="D71" s="1104"/>
      <c r="E71" s="643"/>
      <c r="F71" s="655"/>
      <c r="G71" s="1097"/>
      <c r="H71" s="1097"/>
      <c r="I71" s="1097"/>
      <c r="J71" s="1097"/>
    </row>
    <row r="72" spans="1:10" ht="22.9" customHeight="1" x14ac:dyDescent="0.3">
      <c r="A72" s="943" t="s">
        <v>248</v>
      </c>
      <c r="B72" s="943"/>
      <c r="C72" s="1103"/>
      <c r="D72" s="1104"/>
      <c r="E72" s="643"/>
      <c r="F72" s="655"/>
      <c r="G72" s="1097"/>
      <c r="H72" s="1097"/>
      <c r="I72" s="1097"/>
      <c r="J72" s="1097"/>
    </row>
    <row r="73" spans="1:10" ht="22.9" customHeight="1" x14ac:dyDescent="0.3">
      <c r="A73" s="943" t="s">
        <v>201</v>
      </c>
      <c r="B73" s="943"/>
      <c r="C73" s="1109"/>
      <c r="D73" s="1109"/>
      <c r="E73" s="643"/>
      <c r="F73" s="644"/>
      <c r="G73" s="1109"/>
      <c r="H73" s="1109"/>
      <c r="I73" s="1109"/>
      <c r="J73" s="1109"/>
    </row>
    <row r="74" spans="1:10" ht="22.9" customHeight="1" x14ac:dyDescent="0.3">
      <c r="A74" s="943" t="s">
        <v>864</v>
      </c>
      <c r="B74" s="943"/>
      <c r="C74" s="658"/>
      <c r="D74" s="659"/>
      <c r="E74" s="643"/>
      <c r="F74" s="660"/>
      <c r="G74" s="1107"/>
      <c r="H74" s="1108"/>
      <c r="I74" s="1107"/>
      <c r="J74" s="1108"/>
    </row>
    <row r="75" spans="1:10" ht="30.6" customHeight="1" x14ac:dyDescent="0.3">
      <c r="A75" s="967" t="s">
        <v>220</v>
      </c>
      <c r="B75" s="968"/>
      <c r="C75" s="1103"/>
      <c r="D75" s="1104"/>
      <c r="E75" s="661"/>
      <c r="F75" s="655"/>
      <c r="G75" s="1097"/>
      <c r="H75" s="1097"/>
      <c r="I75" s="1097"/>
      <c r="J75" s="1097"/>
    </row>
    <row r="76" spans="1:10" ht="30.6" customHeight="1" x14ac:dyDescent="0.3">
      <c r="A76" s="943" t="s">
        <v>249</v>
      </c>
      <c r="B76" s="943"/>
      <c r="C76" s="1103"/>
      <c r="D76" s="1104"/>
      <c r="E76" s="661"/>
      <c r="F76" s="661"/>
      <c r="G76" s="1097"/>
      <c r="H76" s="1097"/>
      <c r="I76" s="1097"/>
      <c r="J76" s="1097"/>
    </row>
    <row r="77" spans="1:10" ht="30" customHeight="1" x14ac:dyDescent="0.3">
      <c r="A77" s="943" t="s">
        <v>250</v>
      </c>
      <c r="B77" s="943"/>
      <c r="C77" s="1103"/>
      <c r="D77" s="1104"/>
      <c r="E77" s="661"/>
      <c r="F77" s="661"/>
      <c r="G77" s="1097"/>
      <c r="H77" s="1097"/>
      <c r="I77" s="1097"/>
      <c r="J77" s="1097"/>
    </row>
    <row r="78" spans="1:10" ht="25.9" customHeight="1" x14ac:dyDescent="0.3">
      <c r="A78" s="1096" t="s">
        <v>64</v>
      </c>
      <c r="B78" s="1096"/>
      <c r="C78" s="1096"/>
      <c r="D78" s="1096"/>
      <c r="E78" s="1096"/>
      <c r="F78" s="1096"/>
      <c r="G78" s="1096"/>
      <c r="H78" s="1096"/>
      <c r="I78" s="1103"/>
      <c r="J78" s="1104"/>
    </row>
    <row r="79" spans="1:10" ht="25.9" customHeight="1" x14ac:dyDescent="0.3">
      <c r="A79" s="1096" t="s">
        <v>221</v>
      </c>
      <c r="B79" s="1096"/>
      <c r="C79" s="1096"/>
      <c r="D79" s="1096"/>
      <c r="E79" s="1096"/>
      <c r="F79" s="1096"/>
      <c r="G79" s="1096"/>
      <c r="H79" s="1096"/>
      <c r="I79" s="653"/>
      <c r="J79" s="654"/>
    </row>
    <row r="80" spans="1:10" ht="25.9" customHeight="1" x14ac:dyDescent="0.3">
      <c r="A80" s="1096" t="s">
        <v>222</v>
      </c>
      <c r="B80" s="1096"/>
      <c r="C80" s="1096"/>
      <c r="D80" s="1096"/>
      <c r="E80" s="1096"/>
      <c r="F80" s="1096"/>
      <c r="G80" s="1096"/>
      <c r="H80" s="1096"/>
      <c r="I80" s="1103"/>
      <c r="J80" s="1104"/>
    </row>
    <row r="81" spans="1:10" ht="25.9" customHeight="1" x14ac:dyDescent="0.3">
      <c r="A81" s="1096" t="s">
        <v>306</v>
      </c>
      <c r="B81" s="1096"/>
      <c r="C81" s="1096"/>
      <c r="D81" s="1096"/>
      <c r="E81" s="1096"/>
      <c r="F81" s="1096"/>
      <c r="G81" s="1096"/>
      <c r="H81" s="1096"/>
      <c r="I81" s="653"/>
      <c r="J81" s="654"/>
    </row>
    <row r="82" spans="1:10" ht="42" customHeight="1" x14ac:dyDescent="0.3">
      <c r="A82" s="1098" t="s">
        <v>223</v>
      </c>
      <c r="B82" s="1099"/>
      <c r="C82" s="1102" t="s">
        <v>59</v>
      </c>
      <c r="D82" s="1102"/>
      <c r="E82" s="1102" t="s">
        <v>66</v>
      </c>
      <c r="F82" s="1102"/>
      <c r="G82" s="1102" t="s">
        <v>60</v>
      </c>
      <c r="H82" s="1102"/>
      <c r="I82" s="1103"/>
      <c r="J82" s="1104"/>
    </row>
    <row r="83" spans="1:10" ht="42" customHeight="1" x14ac:dyDescent="0.3">
      <c r="A83" s="1100"/>
      <c r="B83" s="1101"/>
      <c r="C83" s="1102"/>
      <c r="D83" s="1102"/>
      <c r="E83" s="1102"/>
      <c r="F83" s="1102"/>
      <c r="G83" s="1105"/>
      <c r="H83" s="1106"/>
      <c r="I83" s="1103"/>
      <c r="J83" s="1104"/>
    </row>
    <row r="84" spans="1:10" ht="27" customHeight="1" x14ac:dyDescent="0.3">
      <c r="A84" s="1096" t="s">
        <v>273</v>
      </c>
      <c r="B84" s="1096"/>
      <c r="C84" s="1096"/>
      <c r="D84" s="1096"/>
      <c r="E84" s="1096"/>
      <c r="F84" s="1096"/>
      <c r="G84" s="1096"/>
      <c r="H84" s="1096"/>
      <c r="I84" s="653"/>
      <c r="J84" s="654"/>
    </row>
    <row r="85" spans="1:10" ht="27" customHeight="1" x14ac:dyDescent="0.3">
      <c r="A85" s="1096" t="s">
        <v>275</v>
      </c>
      <c r="B85" s="1096"/>
      <c r="C85" s="1096"/>
      <c r="D85" s="1096"/>
      <c r="E85" s="1096"/>
      <c r="F85" s="1096"/>
      <c r="G85" s="1096"/>
      <c r="H85" s="1096"/>
      <c r="I85" s="1097"/>
      <c r="J85" s="1097"/>
    </row>
    <row r="86" spans="1:10" ht="27" customHeight="1" x14ac:dyDescent="0.3">
      <c r="A86" s="1096" t="s">
        <v>57</v>
      </c>
      <c r="B86" s="1096"/>
      <c r="C86" s="1096"/>
      <c r="D86" s="1096"/>
      <c r="E86" s="1096"/>
      <c r="F86" s="1096"/>
      <c r="G86" s="1096"/>
      <c r="H86" s="1096"/>
      <c r="I86" s="1097"/>
      <c r="J86" s="1097"/>
    </row>
    <row r="87" spans="1:10" customFormat="1" ht="25.9" customHeight="1" x14ac:dyDescent="0.25">
      <c r="A87" s="613"/>
      <c r="B87" s="346" t="s">
        <v>63</v>
      </c>
      <c r="C87" s="346" t="s">
        <v>276</v>
      </c>
      <c r="D87" s="831" t="s">
        <v>278</v>
      </c>
      <c r="E87" s="831"/>
      <c r="F87" s="831" t="s">
        <v>279</v>
      </c>
      <c r="G87" s="831"/>
      <c r="H87" s="366"/>
      <c r="I87" s="366"/>
      <c r="J87" s="173"/>
    </row>
    <row r="88" spans="1:10" customFormat="1" ht="25.9" customHeight="1" x14ac:dyDescent="0.25">
      <c r="A88" s="350" t="s">
        <v>277</v>
      </c>
      <c r="B88" s="63">
        <f>H83</f>
        <v>0</v>
      </c>
      <c r="C88" s="63"/>
      <c r="D88" s="67" t="s">
        <v>101</v>
      </c>
      <c r="E88" s="63"/>
      <c r="F88" s="67" t="s">
        <v>302</v>
      </c>
      <c r="G88" s="63"/>
      <c r="H88" s="365"/>
      <c r="I88" s="366"/>
      <c r="J88" s="173"/>
    </row>
    <row r="89" spans="1:10" customFormat="1" ht="25.9" customHeight="1" x14ac:dyDescent="0.25">
      <c r="A89" s="351" t="s">
        <v>281</v>
      </c>
      <c r="B89" s="353">
        <f>C68</f>
        <v>0</v>
      </c>
      <c r="C89" s="353"/>
      <c r="D89" s="67" t="s">
        <v>94</v>
      </c>
      <c r="E89" s="63"/>
      <c r="F89" s="67" t="s">
        <v>235</v>
      </c>
      <c r="G89" s="63"/>
      <c r="H89" s="366"/>
      <c r="I89" s="366"/>
      <c r="J89" s="173"/>
    </row>
    <row r="90" spans="1:10" customFormat="1" ht="25.9" customHeight="1" x14ac:dyDescent="0.25">
      <c r="A90" s="352" t="s">
        <v>179</v>
      </c>
      <c r="B90" s="353">
        <f>J32</f>
        <v>3102.57</v>
      </c>
      <c r="C90" s="353"/>
      <c r="D90" s="67" t="s">
        <v>234</v>
      </c>
      <c r="E90" s="63"/>
      <c r="F90" s="67" t="s">
        <v>234</v>
      </c>
      <c r="G90" s="63"/>
      <c r="H90" s="366"/>
      <c r="I90" s="366"/>
      <c r="J90" s="173"/>
    </row>
    <row r="91" spans="1:10" customFormat="1" ht="25.9" customHeight="1" x14ac:dyDescent="0.25">
      <c r="A91" s="352" t="s">
        <v>61</v>
      </c>
      <c r="B91" s="353">
        <f>+J79</f>
        <v>0</v>
      </c>
      <c r="C91" s="353"/>
      <c r="D91" s="348"/>
      <c r="E91" s="348"/>
      <c r="F91" s="348"/>
      <c r="G91" s="348"/>
      <c r="H91" s="366"/>
      <c r="I91" s="366"/>
      <c r="J91" s="173"/>
    </row>
    <row r="92" spans="1:10" customFormat="1" ht="15" customHeight="1" x14ac:dyDescent="0.25">
      <c r="A92" s="821" t="s">
        <v>58</v>
      </c>
      <c r="B92" s="821"/>
      <c r="C92" s="821"/>
      <c r="D92" s="821"/>
      <c r="E92" s="821"/>
      <c r="F92" s="23"/>
      <c r="G92" s="23"/>
      <c r="H92" s="23"/>
      <c r="I92" s="23"/>
      <c r="J92" s="23"/>
    </row>
    <row r="93" spans="1:10" s="23" customFormat="1" ht="12" customHeight="1" x14ac:dyDescent="0.25">
      <c r="A93" s="43" t="s">
        <v>62</v>
      </c>
    </row>
    <row r="94" spans="1:10" s="23" customFormat="1" ht="12" customHeight="1" x14ac:dyDescent="0.25">
      <c r="A94" s="23" t="s">
        <v>307</v>
      </c>
    </row>
    <row r="95" spans="1:10" s="23" customFormat="1" ht="12" hidden="1" customHeight="1" x14ac:dyDescent="0.25">
      <c r="A95" s="43"/>
    </row>
    <row r="96" spans="1:10" s="23" customFormat="1" ht="12" hidden="1" customHeight="1" x14ac:dyDescent="0.3">
      <c r="A96" s="234" t="s">
        <v>90</v>
      </c>
      <c r="B96" s="235"/>
      <c r="C96" s="236">
        <v>7.4999999999999997E-3</v>
      </c>
      <c r="D96" s="228">
        <f>ROUND(J32*C96,2)</f>
        <v>23.27</v>
      </c>
      <c r="E96" s="215"/>
      <c r="F96" s="237"/>
      <c r="G96" s="214"/>
      <c r="H96" s="24"/>
      <c r="I96" s="24"/>
    </row>
    <row r="97" spans="1:6" ht="30.75" hidden="1" customHeight="1" x14ac:dyDescent="0.3">
      <c r="A97" s="234" t="s">
        <v>91</v>
      </c>
      <c r="B97" s="235"/>
      <c r="C97" s="238">
        <f>(2.4-0.95)%</f>
        <v>1.4499999999999999E-2</v>
      </c>
      <c r="D97" s="228">
        <f>ROUND(C58*C97,2)</f>
        <v>0</v>
      </c>
      <c r="F97" s="233"/>
    </row>
    <row r="98" spans="1:6" ht="30.75" hidden="1" customHeight="1" x14ac:dyDescent="0.3">
      <c r="A98" s="239" t="s">
        <v>239</v>
      </c>
      <c r="B98" s="235"/>
      <c r="D98" s="215">
        <f>D96+D97</f>
        <v>23.27</v>
      </c>
      <c r="F98" s="233"/>
    </row>
    <row r="99" spans="1:6" ht="30.75" hidden="1" customHeight="1" x14ac:dyDescent="0.3">
      <c r="A99" s="234" t="s">
        <v>240</v>
      </c>
      <c r="C99" s="215"/>
      <c r="F99" s="240"/>
    </row>
    <row r="100" spans="1:6" ht="30.75" hidden="1" customHeight="1" x14ac:dyDescent="0.3">
      <c r="A100" s="234"/>
      <c r="C100" s="215"/>
      <c r="F100" s="240"/>
    </row>
    <row r="101" spans="1:6" ht="30.75" hidden="1" customHeight="1" x14ac:dyDescent="0.3">
      <c r="A101" s="234" t="s">
        <v>92</v>
      </c>
      <c r="B101" s="241"/>
      <c r="C101" s="228">
        <v>1.7000000000000001E-2</v>
      </c>
      <c r="D101" s="228">
        <f>ROUND(C62*C101,2)</f>
        <v>0</v>
      </c>
      <c r="F101" s="240"/>
    </row>
    <row r="102" spans="1:6" ht="30.75" hidden="1" customHeight="1" x14ac:dyDescent="0.3">
      <c r="A102" s="242"/>
      <c r="B102" s="243"/>
      <c r="C102" s="244"/>
      <c r="D102" s="244"/>
      <c r="E102" s="244"/>
      <c r="F102" s="245"/>
    </row>
    <row r="103" spans="1:6" ht="30.75" hidden="1" customHeight="1" x14ac:dyDescent="0.3">
      <c r="A103" s="246" t="s">
        <v>241</v>
      </c>
      <c r="B103" s="247"/>
      <c r="C103" s="248"/>
      <c r="D103" s="248"/>
      <c r="E103" s="248"/>
      <c r="F103" s="249"/>
    </row>
    <row r="104" spans="1:6" ht="30.75" hidden="1" customHeight="1" x14ac:dyDescent="0.3">
      <c r="A104" s="231"/>
      <c r="B104" s="232"/>
      <c r="C104" s="250"/>
      <c r="F104" s="251"/>
    </row>
    <row r="105" spans="1:6" ht="30.75" hidden="1" customHeight="1" x14ac:dyDescent="0.3">
      <c r="A105" s="234" t="s">
        <v>90</v>
      </c>
      <c r="B105" s="235"/>
      <c r="C105" s="236">
        <v>7.4999999999999997E-3</v>
      </c>
      <c r="D105" s="228">
        <f>ROUND(J32*C105,2)</f>
        <v>23.27</v>
      </c>
      <c r="E105" s="214"/>
      <c r="F105" s="233"/>
    </row>
    <row r="106" spans="1:6" ht="30.75" hidden="1" customHeight="1" x14ac:dyDescent="0.3">
      <c r="A106" s="234" t="s">
        <v>91</v>
      </c>
      <c r="B106" s="235"/>
      <c r="C106" s="238">
        <f>(2.4)%</f>
        <v>2.4E-2</v>
      </c>
      <c r="D106" s="228">
        <f>ROUND(C58*C106,2)</f>
        <v>0</v>
      </c>
      <c r="E106" s="252"/>
      <c r="F106" s="233"/>
    </row>
    <row r="107" spans="1:6" ht="30.75" hidden="1" customHeight="1" x14ac:dyDescent="0.3">
      <c r="A107" s="239" t="s">
        <v>242</v>
      </c>
      <c r="B107" s="235"/>
      <c r="E107" s="252"/>
      <c r="F107" s="233"/>
    </row>
    <row r="108" spans="1:6" ht="30.75" hidden="1" customHeight="1" x14ac:dyDescent="0.3">
      <c r="A108" s="234" t="s">
        <v>240</v>
      </c>
      <c r="C108" s="215"/>
      <c r="E108" s="253">
        <f>D106+D105-D110</f>
        <v>23.27</v>
      </c>
      <c r="F108" s="233"/>
    </row>
    <row r="109" spans="1:6" ht="30.75" hidden="1" customHeight="1" x14ac:dyDescent="0.3">
      <c r="A109" s="234"/>
      <c r="C109" s="215"/>
      <c r="E109" s="252"/>
      <c r="F109" s="233"/>
    </row>
    <row r="110" spans="1:6" ht="30.75" hidden="1" customHeight="1" x14ac:dyDescent="0.3">
      <c r="A110" s="234" t="s">
        <v>92</v>
      </c>
      <c r="B110" s="241"/>
      <c r="C110" s="228">
        <v>1.7000000000000001E-2</v>
      </c>
      <c r="D110" s="228">
        <f>ROUND(C62*C110,2)</f>
        <v>0</v>
      </c>
      <c r="F110" s="233"/>
    </row>
    <row r="111" spans="1:6" ht="30.75" hidden="1" customHeight="1" x14ac:dyDescent="0.3">
      <c r="A111" s="254"/>
      <c r="B111" s="255"/>
      <c r="C111" s="256"/>
      <c r="D111" s="256"/>
      <c r="E111" s="256"/>
      <c r="F111" s="257"/>
    </row>
    <row r="112" spans="1:6" ht="30.75" hidden="1" customHeight="1" x14ac:dyDescent="0.3">
      <c r="B112" s="235"/>
    </row>
    <row r="113" spans="1:18" ht="30.75" customHeight="1" x14ac:dyDescent="0.3">
      <c r="A113" s="1095" t="s">
        <v>84</v>
      </c>
      <c r="B113" s="1095"/>
      <c r="C113" s="1095"/>
      <c r="D113" s="1095"/>
      <c r="E113" s="1095"/>
    </row>
    <row r="114" spans="1:18" ht="18" customHeight="1" x14ac:dyDescent="0.3">
      <c r="A114" s="59"/>
      <c r="B114" s="662"/>
      <c r="C114" s="662"/>
      <c r="D114" s="662"/>
      <c r="E114" s="662"/>
      <c r="F114" s="179"/>
      <c r="G114" s="25"/>
      <c r="H114" s="25"/>
      <c r="I114" s="25"/>
    </row>
    <row r="115" spans="1:18" customFormat="1" ht="36" customHeight="1" x14ac:dyDescent="0.25">
      <c r="A115" s="1090" t="s">
        <v>68</v>
      </c>
      <c r="B115" s="1092"/>
      <c r="C115" s="38" t="s">
        <v>32</v>
      </c>
      <c r="D115" s="38" t="s">
        <v>280</v>
      </c>
      <c r="E115" s="38" t="s">
        <v>95</v>
      </c>
      <c r="H115" s="25"/>
      <c r="I115" s="25"/>
      <c r="J115" s="25"/>
      <c r="K115" s="27"/>
      <c r="L115" s="27"/>
      <c r="M115" s="27"/>
      <c r="N115" s="27"/>
      <c r="O115" s="27"/>
    </row>
    <row r="116" spans="1:18" customFormat="1" ht="39.6" customHeight="1" x14ac:dyDescent="0.25">
      <c r="A116" s="1094" t="s">
        <v>87</v>
      </c>
      <c r="B116" s="1094"/>
      <c r="C116" s="663">
        <f>IF(B5&lt;50,IF(J32&gt;C32,C32,J32),0)</f>
        <v>0</v>
      </c>
      <c r="D116" s="664">
        <f>'[5]TABLE DES TAUX 2025'!D22</f>
        <v>1.6199999999999999E-2</v>
      </c>
      <c r="E116" s="663">
        <f t="shared" ref="E116:E125" si="2">ROUND(C116*D116,2)</f>
        <v>0</v>
      </c>
      <c r="G116" s="528"/>
      <c r="H116" s="25"/>
      <c r="I116" s="25"/>
      <c r="J116" s="25"/>
      <c r="K116" s="25"/>
      <c r="L116" s="25"/>
      <c r="M116" s="27"/>
      <c r="N116" s="27"/>
      <c r="O116" s="27"/>
      <c r="P116" s="27"/>
      <c r="Q116" s="27"/>
      <c r="R116" s="27"/>
    </row>
    <row r="117" spans="1:18" customFormat="1" ht="39.6" customHeight="1" x14ac:dyDescent="0.3">
      <c r="A117" s="1094" t="s">
        <v>88</v>
      </c>
      <c r="B117" s="1094"/>
      <c r="C117" s="663">
        <f>IF(B5&gt;=50,J32,0)</f>
        <v>3102.57</v>
      </c>
      <c r="D117" s="664">
        <f>'[5]TABLE DES TAUX 2025'!D23</f>
        <v>2.0999999999999999E-3</v>
      </c>
      <c r="E117" s="663">
        <f t="shared" si="2"/>
        <v>6.52</v>
      </c>
      <c r="G117" s="529"/>
      <c r="H117" s="25"/>
      <c r="I117" s="25"/>
      <c r="J117" s="25"/>
      <c r="K117" s="25"/>
      <c r="L117" s="25"/>
      <c r="M117" s="27"/>
      <c r="N117" s="27"/>
      <c r="O117" s="27"/>
      <c r="P117" s="27"/>
      <c r="Q117" s="27"/>
      <c r="R117" s="27"/>
    </row>
    <row r="118" spans="1:18" customFormat="1" ht="39.6" customHeight="1" x14ac:dyDescent="0.25">
      <c r="A118" s="1094" t="s">
        <v>270</v>
      </c>
      <c r="B118" s="1094"/>
      <c r="C118" s="663">
        <f>IF(B5&gt;=11,J32,0)</f>
        <v>3102.57</v>
      </c>
      <c r="D118" s="664">
        <f>'[5]TABLE DES TAUX 2025'!D24</f>
        <v>2.0999999999999999E-3</v>
      </c>
      <c r="E118" s="663">
        <f t="shared" si="2"/>
        <v>6.52</v>
      </c>
      <c r="G118" s="528"/>
      <c r="H118" s="25"/>
      <c r="I118" s="25"/>
      <c r="J118" s="25"/>
      <c r="K118" s="25"/>
      <c r="L118" s="25"/>
      <c r="M118" s="27"/>
      <c r="N118" s="27"/>
      <c r="O118" s="27"/>
      <c r="P118" s="27"/>
      <c r="Q118" s="27"/>
      <c r="R118" s="27"/>
    </row>
    <row r="119" spans="1:18" customFormat="1" ht="39.6" customHeight="1" x14ac:dyDescent="0.25">
      <c r="A119" s="1094" t="s">
        <v>72</v>
      </c>
      <c r="B119" s="1094"/>
      <c r="C119" s="663">
        <f>J32</f>
        <v>3102.57</v>
      </c>
      <c r="D119" s="664">
        <f>'[5]TABLE DES TAUX 2025'!D25</f>
        <v>0</v>
      </c>
      <c r="E119" s="663">
        <f t="shared" si="2"/>
        <v>0</v>
      </c>
      <c r="H119" s="25"/>
      <c r="I119" s="25"/>
      <c r="J119" s="25"/>
      <c r="K119" s="25"/>
      <c r="L119" s="25"/>
      <c r="M119" s="27"/>
      <c r="N119" s="27"/>
      <c r="O119" s="27"/>
      <c r="P119" s="27"/>
      <c r="Q119" s="27"/>
      <c r="R119" s="27"/>
    </row>
    <row r="120" spans="1:18" customFormat="1" ht="39.6" customHeight="1" x14ac:dyDescent="0.25">
      <c r="A120" s="1094" t="s">
        <v>85</v>
      </c>
      <c r="B120" s="1094"/>
      <c r="C120" s="663">
        <f>IF(B8&gt;=11, IF(I5=2,I72+I41+I40,I39+I71),0)</f>
        <v>55.85</v>
      </c>
      <c r="D120" s="664">
        <f>'[5]TABLE DES TAUX 2025'!D26</f>
        <v>1E-3</v>
      </c>
      <c r="E120" s="663">
        <f t="shared" si="2"/>
        <v>0.06</v>
      </c>
      <c r="H120" s="27"/>
      <c r="I120" s="27"/>
      <c r="J120" s="25"/>
      <c r="K120" s="25"/>
      <c r="L120" s="25"/>
      <c r="M120" s="27"/>
      <c r="N120" s="27"/>
      <c r="O120" s="27"/>
      <c r="P120" s="27"/>
      <c r="Q120" s="27"/>
      <c r="R120" s="27"/>
    </row>
    <row r="121" spans="1:18" customFormat="1" ht="39.6" customHeight="1" x14ac:dyDescent="0.25">
      <c r="A121" s="1094" t="s">
        <v>217</v>
      </c>
      <c r="B121" s="1094"/>
      <c r="C121" s="663">
        <f>G73</f>
        <v>0</v>
      </c>
      <c r="D121" s="664">
        <f>'[5]TABLE DES TAUX 2025'!D27</f>
        <v>5.0000000000000001E-3</v>
      </c>
      <c r="E121" s="663">
        <f t="shared" si="2"/>
        <v>0</v>
      </c>
      <c r="H121" s="27"/>
      <c r="I121" s="27"/>
      <c r="J121" s="27"/>
      <c r="K121" s="27"/>
      <c r="L121" s="27"/>
      <c r="M121" s="27"/>
      <c r="N121" s="27"/>
      <c r="O121" s="27"/>
      <c r="P121" s="27"/>
      <c r="Q121" s="27"/>
      <c r="R121" s="27"/>
    </row>
    <row r="122" spans="1:18" customFormat="1" ht="39.6" customHeight="1" x14ac:dyDescent="0.25">
      <c r="A122" s="1094" t="s">
        <v>73</v>
      </c>
      <c r="B122" s="1094"/>
      <c r="C122" s="663">
        <f>+J32</f>
        <v>3102.57</v>
      </c>
      <c r="D122" s="664">
        <f>'[5]TABLE DES TAUX 2025'!D28</f>
        <v>3.2000000000000001E-2</v>
      </c>
      <c r="E122" s="663">
        <f t="shared" si="2"/>
        <v>99.28</v>
      </c>
      <c r="H122" s="27"/>
      <c r="I122" s="27"/>
      <c r="J122" s="27"/>
      <c r="K122" s="27"/>
      <c r="L122" s="27"/>
      <c r="M122" s="27"/>
      <c r="N122" s="27"/>
      <c r="O122" s="27"/>
      <c r="P122" s="27"/>
      <c r="Q122" s="27"/>
      <c r="R122" s="27"/>
    </row>
    <row r="123" spans="1:18" customFormat="1" ht="39.6" customHeight="1" x14ac:dyDescent="0.25">
      <c r="A123" s="1094" t="s">
        <v>826</v>
      </c>
      <c r="B123" s="1094"/>
      <c r="C123" s="663">
        <f>IF(B5&gt;=11,J32,0)</f>
        <v>3102.57</v>
      </c>
      <c r="D123" s="664">
        <f>'[5]TABLE DES TAUX 2025'!D29</f>
        <v>3.0000000000000001E-3</v>
      </c>
      <c r="E123" s="663">
        <f t="shared" si="2"/>
        <v>9.31</v>
      </c>
      <c r="H123" s="27"/>
      <c r="I123" s="27"/>
      <c r="J123" s="27"/>
      <c r="K123" s="27"/>
      <c r="L123" s="27"/>
      <c r="M123" s="27"/>
      <c r="N123" s="27"/>
      <c r="O123" s="27"/>
      <c r="P123" s="27"/>
      <c r="Q123" s="27"/>
      <c r="R123" s="27"/>
    </row>
    <row r="124" spans="1:18" customFormat="1" ht="39.6" customHeight="1" x14ac:dyDescent="0.25">
      <c r="A124" s="1094" t="s">
        <v>827</v>
      </c>
      <c r="B124" s="1094"/>
      <c r="C124" s="663">
        <f>IF(B5&lt;11,J32,0)</f>
        <v>0</v>
      </c>
      <c r="D124" s="664">
        <f>'[5]TABLE DES TAUX 2025'!D30</f>
        <v>0.08</v>
      </c>
      <c r="E124" s="663">
        <f t="shared" si="2"/>
        <v>0</v>
      </c>
      <c r="H124" s="27"/>
      <c r="I124" s="27"/>
      <c r="J124" s="27"/>
      <c r="K124" s="27"/>
      <c r="L124" s="27"/>
      <c r="M124" s="27"/>
      <c r="N124" s="27"/>
      <c r="O124" s="27"/>
      <c r="P124" s="27"/>
      <c r="Q124" s="27"/>
      <c r="R124" s="27"/>
    </row>
    <row r="125" spans="1:18" customFormat="1" ht="39.6" customHeight="1" x14ac:dyDescent="0.25">
      <c r="A125" s="1094" t="s">
        <v>78</v>
      </c>
      <c r="B125" s="1094"/>
      <c r="C125" s="663">
        <f>IF(B5&lt;50,0,J32)</f>
        <v>3102.57</v>
      </c>
      <c r="D125" s="664">
        <f>'TABLE DES TAUX 2025 '!D32</f>
        <v>1.6000000000000001E-4</v>
      </c>
      <c r="E125" s="663">
        <f t="shared" si="2"/>
        <v>0.5</v>
      </c>
      <c r="H125" s="27"/>
      <c r="I125" s="27"/>
      <c r="J125" s="27"/>
      <c r="K125" s="27"/>
      <c r="L125" s="27"/>
      <c r="M125" s="27"/>
      <c r="N125" s="27"/>
      <c r="O125" s="27"/>
      <c r="P125" s="27"/>
      <c r="Q125" s="27"/>
      <c r="R125" s="27"/>
    </row>
    <row r="126" spans="1:18" customFormat="1" ht="33.6" customHeight="1" x14ac:dyDescent="0.25">
      <c r="A126" s="27"/>
      <c r="B126" s="27"/>
      <c r="D126" s="27"/>
      <c r="E126" s="663">
        <f>SUM(E116:E125)</f>
        <v>122.19</v>
      </c>
      <c r="G126" s="27"/>
      <c r="H126" s="27"/>
      <c r="I126" s="27"/>
      <c r="J126" s="27"/>
      <c r="K126" s="27"/>
      <c r="L126" s="27"/>
      <c r="M126" s="27"/>
      <c r="N126" s="27"/>
      <c r="O126" s="27"/>
    </row>
    <row r="127" spans="1:18" customFormat="1" x14ac:dyDescent="0.3">
      <c r="A127" s="217"/>
      <c r="B127" s="217"/>
      <c r="C127" s="214"/>
      <c r="D127" s="215"/>
      <c r="E127" s="215"/>
      <c r="F127" s="214"/>
      <c r="G127" s="214"/>
      <c r="H127" s="24"/>
      <c r="I127" s="24"/>
      <c r="J127" s="27"/>
      <c r="K127" s="27"/>
      <c r="L127" s="27"/>
      <c r="M127" s="27"/>
      <c r="N127" s="27"/>
      <c r="O127" s="27"/>
    </row>
  </sheetData>
  <mergeCells count="251">
    <mergeCell ref="A1:D1"/>
    <mergeCell ref="F1:J1"/>
    <mergeCell ref="B2:D2"/>
    <mergeCell ref="G2:J2"/>
    <mergeCell ref="B3:D3"/>
    <mergeCell ref="G3:J3"/>
    <mergeCell ref="B7:D7"/>
    <mergeCell ref="G7:J7"/>
    <mergeCell ref="C8:D8"/>
    <mergeCell ref="F8:G8"/>
    <mergeCell ref="F9:G9"/>
    <mergeCell ref="B10:D10"/>
    <mergeCell ref="B4:D4"/>
    <mergeCell ref="G4:J4"/>
    <mergeCell ref="B5:D5"/>
    <mergeCell ref="G5:J5"/>
    <mergeCell ref="B6:D6"/>
    <mergeCell ref="G6:J6"/>
    <mergeCell ref="A17:F17"/>
    <mergeCell ref="A18:F18"/>
    <mergeCell ref="A19:F19"/>
    <mergeCell ref="A20:F20"/>
    <mergeCell ref="A21:F21"/>
    <mergeCell ref="A22:F22"/>
    <mergeCell ref="A11:J11"/>
    <mergeCell ref="A12:F12"/>
    <mergeCell ref="A13:F13"/>
    <mergeCell ref="A14:F14"/>
    <mergeCell ref="A15:F15"/>
    <mergeCell ref="A16:F16"/>
    <mergeCell ref="A29:F29"/>
    <mergeCell ref="A30:F30"/>
    <mergeCell ref="A31:F31"/>
    <mergeCell ref="A32:B32"/>
    <mergeCell ref="D32:I32"/>
    <mergeCell ref="A33:J33"/>
    <mergeCell ref="A23:F23"/>
    <mergeCell ref="A24:F24"/>
    <mergeCell ref="A25:F25"/>
    <mergeCell ref="A26:F26"/>
    <mergeCell ref="A27:F27"/>
    <mergeCell ref="A28:F28"/>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K48:L48"/>
    <mergeCell ref="A49:B49"/>
    <mergeCell ref="C49:D49"/>
    <mergeCell ref="G49:H49"/>
    <mergeCell ref="I49:J49"/>
    <mergeCell ref="A46:B46"/>
    <mergeCell ref="C46:D46"/>
    <mergeCell ref="G46:H46"/>
    <mergeCell ref="I46:J46"/>
    <mergeCell ref="A47:B47"/>
    <mergeCell ref="C47:D47"/>
    <mergeCell ref="G47:H47"/>
    <mergeCell ref="I47:J47"/>
    <mergeCell ref="A50:B50"/>
    <mergeCell ref="C50:D50"/>
    <mergeCell ref="G50:H50"/>
    <mergeCell ref="I50:J50"/>
    <mergeCell ref="A51:B51"/>
    <mergeCell ref="C51:D51"/>
    <mergeCell ref="G51:H51"/>
    <mergeCell ref="I51:J51"/>
    <mergeCell ref="A48:B48"/>
    <mergeCell ref="C48:D48"/>
    <mergeCell ref="G48:H48"/>
    <mergeCell ref="I48:J48"/>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topLeftCell="A4" workbookViewId="0">
      <selection activeCell="E9" sqref="E9"/>
    </sheetView>
  </sheetViews>
  <sheetFormatPr baseColWidth="10" defaultColWidth="11.42578125" defaultRowHeight="15" x14ac:dyDescent="0.25"/>
  <cols>
    <col min="1" max="1" width="6" style="56" customWidth="1"/>
    <col min="2" max="3" width="13.85546875" style="56" customWidth="1"/>
    <col min="4" max="4" width="16.28515625" style="56" customWidth="1"/>
    <col min="5" max="9" width="13.85546875" style="56" customWidth="1"/>
    <col min="10" max="11" width="8.42578125" style="56" customWidth="1"/>
    <col min="12" max="12" width="4.5703125" style="56" customWidth="1"/>
    <col min="13" max="16384" width="11.42578125" style="56"/>
  </cols>
  <sheetData>
    <row r="1" spans="1:13" s="543" customFormat="1" ht="15.75" x14ac:dyDescent="0.25">
      <c r="B1" s="1160" t="s">
        <v>730</v>
      </c>
      <c r="C1" s="1160"/>
      <c r="D1" s="1160"/>
      <c r="E1" s="1160"/>
      <c r="F1" s="1160"/>
      <c r="G1" s="1160"/>
      <c r="H1" s="1160"/>
      <c r="I1" s="1160"/>
      <c r="J1" s="1160"/>
      <c r="K1" s="1160"/>
      <c r="L1" s="1160"/>
      <c r="M1" s="1160"/>
    </row>
    <row r="2" spans="1:13" s="543" customFormat="1" ht="22.9" customHeight="1" x14ac:dyDescent="0.25">
      <c r="B2" s="1161" t="s">
        <v>731</v>
      </c>
      <c r="C2" s="1161"/>
      <c r="D2" s="1161"/>
      <c r="E2" s="1161"/>
      <c r="F2" s="1161"/>
      <c r="G2" s="1161"/>
      <c r="H2" s="1161"/>
      <c r="I2" s="1161"/>
      <c r="J2" s="1161"/>
      <c r="K2" s="1161"/>
      <c r="L2" s="1161"/>
      <c r="M2" s="1161"/>
    </row>
    <row r="3" spans="1:13" x14ac:dyDescent="0.25">
      <c r="B3" s="293" t="s">
        <v>251</v>
      </c>
      <c r="C3" s="293" t="s">
        <v>216</v>
      </c>
      <c r="D3" s="293" t="s">
        <v>252</v>
      </c>
      <c r="E3" s="293" t="s">
        <v>253</v>
      </c>
      <c r="F3" s="293" t="s">
        <v>254</v>
      </c>
      <c r="G3" s="293" t="s">
        <v>255</v>
      </c>
      <c r="H3" s="293"/>
      <c r="I3" s="293" t="s">
        <v>283</v>
      </c>
      <c r="J3" s="293" t="s">
        <v>284</v>
      </c>
      <c r="K3" s="293" t="s">
        <v>285</v>
      </c>
      <c r="L3" s="37">
        <v>1</v>
      </c>
    </row>
    <row r="4" spans="1:13" x14ac:dyDescent="0.25">
      <c r="B4" s="1164" t="s">
        <v>286</v>
      </c>
      <c r="C4" s="1164"/>
      <c r="D4" s="1164"/>
      <c r="E4" s="531">
        <f>IF(E6&gt;=E11,0.3193,0.3194)</f>
        <v>0.31940000000000002</v>
      </c>
      <c r="F4" s="357" t="s">
        <v>287</v>
      </c>
      <c r="L4" s="37">
        <v>2</v>
      </c>
    </row>
    <row r="5" spans="1:13" x14ac:dyDescent="0.25">
      <c r="B5" s="1164" t="s">
        <v>288</v>
      </c>
      <c r="C5" s="1164"/>
      <c r="D5" s="1164"/>
      <c r="E5" s="532">
        <f>IF(E6&lt;E11,0.3234,0.3233)</f>
        <v>0.32340000000000002</v>
      </c>
      <c r="F5" s="293" t="s">
        <v>287</v>
      </c>
      <c r="L5" s="37">
        <v>3</v>
      </c>
    </row>
    <row r="6" spans="1:13" x14ac:dyDescent="0.25">
      <c r="B6" s="1164" t="s">
        <v>816</v>
      </c>
      <c r="C6" s="1164"/>
      <c r="D6" s="1164"/>
      <c r="E6" s="599">
        <f>'MASQUE DE SAISIE '!E38</f>
        <v>45658</v>
      </c>
      <c r="F6" s="58"/>
      <c r="L6" s="37"/>
    </row>
    <row r="7" spans="1:13" x14ac:dyDescent="0.25">
      <c r="B7" s="1164" t="s">
        <v>289</v>
      </c>
      <c r="C7" s="1164"/>
      <c r="D7" s="1164"/>
      <c r="E7" s="360">
        <f>'BP VERSION JANVIER 2023'!B9</f>
        <v>30</v>
      </c>
      <c r="F7" s="58"/>
      <c r="L7" s="37">
        <v>4</v>
      </c>
    </row>
    <row r="8" spans="1:13" x14ac:dyDescent="0.25">
      <c r="B8" s="1164" t="s">
        <v>290</v>
      </c>
      <c r="C8" s="1164"/>
      <c r="D8" s="1164"/>
      <c r="E8" s="360">
        <f>'BP VERSION JANVIER 2023'!D10</f>
        <v>0</v>
      </c>
      <c r="F8" s="1162" t="s">
        <v>743</v>
      </c>
      <c r="G8" s="1163"/>
      <c r="H8" s="1163"/>
      <c r="I8" s="1163"/>
      <c r="L8" s="37">
        <v>5</v>
      </c>
    </row>
    <row r="9" spans="1:13" x14ac:dyDescent="0.25">
      <c r="B9" s="1164" t="s">
        <v>291</v>
      </c>
      <c r="C9" s="1164"/>
      <c r="D9" s="1164"/>
      <c r="E9" s="360">
        <f>'BP VERSION JANVIER 2023'!B10</f>
        <v>0</v>
      </c>
      <c r="F9" s="58"/>
      <c r="L9" s="37">
        <v>6</v>
      </c>
    </row>
    <row r="10" spans="1:13" x14ac:dyDescent="0.25">
      <c r="B10" s="1164" t="s">
        <v>292</v>
      </c>
      <c r="C10" s="1164"/>
      <c r="D10" s="1164"/>
      <c r="E10" s="530" t="e">
        <f>'BP VERSION JANVIER 2023'!J33</f>
        <v>#REF!</v>
      </c>
      <c r="F10" s="58"/>
      <c r="L10" s="37"/>
    </row>
    <row r="11" spans="1:13" x14ac:dyDescent="0.25">
      <c r="B11" s="1164" t="s">
        <v>703</v>
      </c>
      <c r="C11" s="1164"/>
      <c r="D11" s="1164"/>
      <c r="E11" s="470">
        <v>45778</v>
      </c>
      <c r="L11" s="37">
        <v>7</v>
      </c>
    </row>
    <row r="12" spans="1:13" ht="30.75" customHeight="1" x14ac:dyDescent="0.25">
      <c r="B12" s="1158" t="s">
        <v>293</v>
      </c>
      <c r="C12" s="1158"/>
      <c r="D12" s="1158"/>
      <c r="E12" s="1158"/>
      <c r="F12" s="1158"/>
      <c r="G12" s="1158"/>
      <c r="H12" s="1158"/>
      <c r="I12" s="1158"/>
      <c r="J12" s="1158"/>
      <c r="K12" s="1159"/>
      <c r="L12" s="37">
        <v>8</v>
      </c>
    </row>
    <row r="13" spans="1:13" ht="30.75" customHeight="1" x14ac:dyDescent="0.25">
      <c r="A13" s="199"/>
      <c r="B13" s="1086" t="s">
        <v>292</v>
      </c>
      <c r="C13" s="1086" t="s">
        <v>294</v>
      </c>
      <c r="D13" s="1086" t="s">
        <v>14</v>
      </c>
      <c r="E13" s="37" t="s">
        <v>295</v>
      </c>
      <c r="F13" s="970" t="s">
        <v>296</v>
      </c>
      <c r="G13" s="970" t="s">
        <v>297</v>
      </c>
      <c r="H13" s="970" t="s">
        <v>298</v>
      </c>
      <c r="I13" s="970" t="s">
        <v>814</v>
      </c>
      <c r="J13" s="970" t="s">
        <v>299</v>
      </c>
      <c r="K13" s="1082"/>
      <c r="L13" s="37">
        <v>9</v>
      </c>
    </row>
    <row r="14" spans="1:13" ht="30.75" customHeight="1" x14ac:dyDescent="0.25">
      <c r="B14" s="1087"/>
      <c r="C14" s="1087"/>
      <c r="D14" s="1087"/>
      <c r="E14" s="1087" t="s">
        <v>300</v>
      </c>
      <c r="F14" s="970"/>
      <c r="G14" s="970"/>
      <c r="H14" s="970"/>
      <c r="I14" s="970"/>
      <c r="J14" s="970"/>
      <c r="K14" s="1082"/>
      <c r="L14" s="37">
        <v>10</v>
      </c>
    </row>
    <row r="15" spans="1:13" ht="30.75" customHeight="1" x14ac:dyDescent="0.25">
      <c r="B15" s="1088"/>
      <c r="C15" s="1088"/>
      <c r="D15" s="1088"/>
      <c r="E15" s="1088"/>
      <c r="F15" s="970"/>
      <c r="G15" s="970"/>
      <c r="H15" s="970"/>
      <c r="I15" s="970"/>
      <c r="J15" s="970"/>
      <c r="K15" s="1082"/>
      <c r="L15" s="37">
        <v>11</v>
      </c>
    </row>
    <row r="16" spans="1:13" ht="30.75" customHeight="1" x14ac:dyDescent="0.25">
      <c r="B16" s="1087" t="e">
        <f>E10</f>
        <v>#REF!</v>
      </c>
      <c r="C16" s="1087">
        <f>E9</f>
        <v>0</v>
      </c>
      <c r="D16" s="1087">
        <f>E8</f>
        <v>0</v>
      </c>
      <c r="E16" s="1087">
        <f>1.6*D16*C16</f>
        <v>0</v>
      </c>
      <c r="F16" s="1087" t="e">
        <f>E16/B16</f>
        <v>#REF!</v>
      </c>
      <c r="G16" s="1087" t="e">
        <f>IF(F16&lt;=1,0,F16-1)</f>
        <v>#REF!</v>
      </c>
      <c r="H16" s="1154" t="e">
        <f>ROUND(IF(E7&lt;50,E4*G16/0.6,E5*G16/0.6),4)</f>
        <v>#REF!</v>
      </c>
      <c r="I16" s="1154" t="e">
        <f>IF(E7&gt;50,MIN(H16,E5),MIN(H16,E4))</f>
        <v>#REF!</v>
      </c>
      <c r="J16" s="1155" t="e">
        <f>ROUND(I16*B16,2)</f>
        <v>#REF!</v>
      </c>
      <c r="K16" s="1153"/>
      <c r="L16" s="37">
        <v>12</v>
      </c>
    </row>
    <row r="17" spans="1:12" ht="30.75" customHeight="1" x14ac:dyDescent="0.25">
      <c r="B17" s="1088"/>
      <c r="C17" s="1088"/>
      <c r="D17" s="1088"/>
      <c r="E17" s="1088"/>
      <c r="F17" s="1088"/>
      <c r="G17" s="1088"/>
      <c r="H17" s="1088"/>
      <c r="I17" s="1088"/>
      <c r="J17" s="1156"/>
      <c r="K17" s="1157"/>
      <c r="L17" s="37">
        <v>13</v>
      </c>
    </row>
    <row r="18" spans="1:12" ht="29.25" customHeight="1" x14ac:dyDescent="0.25">
      <c r="A18" s="199"/>
      <c r="B18" s="1035"/>
      <c r="C18" s="1035"/>
      <c r="D18" s="1035"/>
      <c r="E18" s="59"/>
      <c r="F18" s="1035"/>
      <c r="G18" s="1035"/>
      <c r="H18" s="59"/>
      <c r="I18" s="1035"/>
      <c r="J18" s="1035"/>
      <c r="K18" s="1035"/>
      <c r="L18" s="59"/>
    </row>
    <row r="19" spans="1:12" ht="29.25" customHeight="1" x14ac:dyDescent="0.25">
      <c r="B19" s="1035"/>
      <c r="C19" s="1035"/>
      <c r="D19" s="1035"/>
      <c r="E19" s="1035"/>
      <c r="F19" s="1035"/>
      <c r="G19" s="1035"/>
      <c r="H19" s="59"/>
      <c r="I19" s="1035"/>
      <c r="J19" s="1035"/>
      <c r="K19" s="1035"/>
      <c r="L19" s="59"/>
    </row>
    <row r="20" spans="1:12" ht="29.25" customHeight="1" x14ac:dyDescent="0.25">
      <c r="B20" s="1035"/>
      <c r="C20" s="1035"/>
      <c r="D20" s="1035"/>
      <c r="E20" s="1035"/>
      <c r="F20" s="1035"/>
      <c r="G20" s="1035"/>
      <c r="H20" s="59"/>
      <c r="I20" s="1035"/>
      <c r="J20" s="1035"/>
      <c r="K20" s="1035"/>
      <c r="L20" s="59"/>
    </row>
    <row r="21" spans="1:12" ht="29.25" customHeight="1" x14ac:dyDescent="0.25">
      <c r="B21" s="1035"/>
      <c r="C21" s="1035"/>
      <c r="D21" s="1035"/>
      <c r="E21" s="1035"/>
      <c r="F21" s="1035"/>
      <c r="G21" s="1035"/>
      <c r="H21" s="59"/>
      <c r="I21" s="1035"/>
      <c r="J21" s="1153"/>
      <c r="K21" s="1153"/>
      <c r="L21" s="59"/>
    </row>
    <row r="22" spans="1:12" ht="29.25" customHeight="1" x14ac:dyDescent="0.25">
      <c r="B22" s="1035"/>
      <c r="C22" s="1035"/>
      <c r="D22" s="1035"/>
      <c r="E22" s="1035"/>
      <c r="F22" s="1035"/>
      <c r="G22" s="1035"/>
      <c r="H22" s="59"/>
      <c r="I22" s="1035"/>
      <c r="J22" s="1153"/>
      <c r="K22" s="1153"/>
      <c r="L22" s="59"/>
    </row>
  </sheetData>
  <mergeCells count="46">
    <mergeCell ref="B1:M1"/>
    <mergeCell ref="B2:M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G21:G22"/>
    <mergeCell ref="I21:I22"/>
    <mergeCell ref="J21:K22"/>
    <mergeCell ref="E19:E20"/>
    <mergeCell ref="B21:B22"/>
    <mergeCell ref="C21:C22"/>
    <mergeCell ref="D21:D22"/>
    <mergeCell ref="E21:E22"/>
    <mergeCell ref="F21:F22"/>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zoomScale="110" zoomScaleNormal="110" workbookViewId="0">
      <selection activeCell="F8" sqref="F8:I8"/>
    </sheetView>
  </sheetViews>
  <sheetFormatPr baseColWidth="10" defaultColWidth="11.42578125" defaultRowHeight="15" x14ac:dyDescent="0.25"/>
  <cols>
    <col min="1" max="1" width="6" style="56" customWidth="1"/>
    <col min="2" max="3" width="13.85546875" style="56" customWidth="1"/>
    <col min="4" max="4" width="19" style="56" customWidth="1"/>
    <col min="5" max="9" width="13.85546875" style="56" customWidth="1"/>
    <col min="10" max="11" width="8.42578125" style="56" customWidth="1"/>
    <col min="12" max="12" width="4.5703125" style="56" customWidth="1"/>
    <col min="13" max="16384" width="11.42578125" style="56"/>
  </cols>
  <sheetData>
    <row r="1" spans="1:13" s="543" customFormat="1" ht="15.75" x14ac:dyDescent="0.25">
      <c r="B1" s="1160" t="s">
        <v>730</v>
      </c>
      <c r="C1" s="1160"/>
      <c r="D1" s="1160"/>
      <c r="E1" s="1160"/>
      <c r="F1" s="1160"/>
      <c r="G1" s="1160"/>
      <c r="H1" s="1160"/>
      <c r="I1" s="1160"/>
      <c r="J1" s="1160"/>
      <c r="K1" s="1160"/>
      <c r="L1" s="1160"/>
      <c r="M1" s="1160"/>
    </row>
    <row r="2" spans="1:13" s="543" customFormat="1" ht="22.9" customHeight="1" x14ac:dyDescent="0.25">
      <c r="B2" s="1161" t="s">
        <v>731</v>
      </c>
      <c r="C2" s="1161"/>
      <c r="D2" s="1161"/>
      <c r="E2" s="1161"/>
      <c r="F2" s="1161"/>
      <c r="G2" s="1161"/>
      <c r="H2" s="1161"/>
      <c r="I2" s="1161"/>
      <c r="J2" s="1161"/>
      <c r="K2" s="1161"/>
      <c r="L2" s="1161"/>
      <c r="M2" s="1161"/>
    </row>
    <row r="3" spans="1:13" x14ac:dyDescent="0.25">
      <c r="B3" s="293" t="s">
        <v>251</v>
      </c>
      <c r="C3" s="293" t="s">
        <v>216</v>
      </c>
      <c r="D3" s="293" t="s">
        <v>252</v>
      </c>
      <c r="E3" s="293" t="s">
        <v>253</v>
      </c>
      <c r="F3" s="293" t="s">
        <v>254</v>
      </c>
      <c r="G3" s="293" t="s">
        <v>255</v>
      </c>
      <c r="H3" s="293"/>
      <c r="I3" s="293" t="s">
        <v>283</v>
      </c>
      <c r="J3" s="293" t="s">
        <v>284</v>
      </c>
      <c r="K3" s="293" t="s">
        <v>285</v>
      </c>
      <c r="L3" s="37">
        <v>1</v>
      </c>
    </row>
    <row r="4" spans="1:13" x14ac:dyDescent="0.25">
      <c r="B4" s="969" t="s">
        <v>286</v>
      </c>
      <c r="C4" s="969"/>
      <c r="D4" s="969"/>
      <c r="E4" s="293">
        <f>IF(E6&gt;=E11,0.3193,0.3194)</f>
        <v>0.31940000000000002</v>
      </c>
      <c r="F4" s="358" t="s">
        <v>287</v>
      </c>
      <c r="L4" s="37">
        <v>2</v>
      </c>
    </row>
    <row r="5" spans="1:13" x14ac:dyDescent="0.25">
      <c r="B5" s="969" t="s">
        <v>288</v>
      </c>
      <c r="C5" s="969"/>
      <c r="D5" s="969"/>
      <c r="E5" s="293">
        <f>IF(E6&lt;E11,0.3234,0.3233)</f>
        <v>0.32340000000000002</v>
      </c>
      <c r="F5" s="292" t="s">
        <v>287</v>
      </c>
      <c r="L5" s="37">
        <v>3</v>
      </c>
    </row>
    <row r="6" spans="1:13" x14ac:dyDescent="0.25">
      <c r="B6" s="969" t="s">
        <v>704</v>
      </c>
      <c r="C6" s="969"/>
      <c r="D6" s="969"/>
      <c r="E6" s="600">
        <f>'BP FORMAT JUILLET 2023'!H10</f>
        <v>45658</v>
      </c>
      <c r="F6" s="58"/>
      <c r="L6" s="37"/>
    </row>
    <row r="7" spans="1:13" x14ac:dyDescent="0.25">
      <c r="B7" s="969" t="s">
        <v>289</v>
      </c>
      <c r="C7" s="969"/>
      <c r="D7" s="969"/>
      <c r="E7" s="360">
        <f>'BP FORMAT JUILLET 2023'!B9</f>
        <v>30</v>
      </c>
      <c r="F7" s="58"/>
      <c r="L7" s="37">
        <v>4</v>
      </c>
    </row>
    <row r="8" spans="1:13" x14ac:dyDescent="0.25">
      <c r="B8" s="969" t="s">
        <v>290</v>
      </c>
      <c r="C8" s="969"/>
      <c r="D8" s="969"/>
      <c r="E8" s="360">
        <f>'BP FORMAT JUILLET 2023'!D10</f>
        <v>0</v>
      </c>
      <c r="F8" s="1162" t="s">
        <v>744</v>
      </c>
      <c r="G8" s="1163"/>
      <c r="H8" s="1163"/>
      <c r="I8" s="1163"/>
      <c r="L8" s="37">
        <v>5</v>
      </c>
    </row>
    <row r="9" spans="1:13" x14ac:dyDescent="0.25">
      <c r="B9" s="969" t="s">
        <v>291</v>
      </c>
      <c r="C9" s="969"/>
      <c r="D9" s="969"/>
      <c r="E9" s="360">
        <f>'BP FORMAT JUILLET 2023'!B10</f>
        <v>0</v>
      </c>
      <c r="F9" s="58"/>
      <c r="L9" s="37">
        <v>6</v>
      </c>
    </row>
    <row r="10" spans="1:13" x14ac:dyDescent="0.25">
      <c r="B10" s="969" t="s">
        <v>292</v>
      </c>
      <c r="C10" s="969"/>
      <c r="D10" s="969"/>
      <c r="E10" s="359" t="e">
        <f>'BP FORMAT JUILLET 2023'!J33</f>
        <v>#REF!</v>
      </c>
      <c r="F10" s="58"/>
      <c r="L10" s="37"/>
    </row>
    <row r="11" spans="1:13" x14ac:dyDescent="0.25">
      <c r="B11" s="1164" t="s">
        <v>703</v>
      </c>
      <c r="C11" s="1164"/>
      <c r="D11" s="1164"/>
      <c r="E11" s="470">
        <v>45778</v>
      </c>
      <c r="L11" s="37">
        <v>7</v>
      </c>
    </row>
    <row r="12" spans="1:13" ht="30.75" customHeight="1" x14ac:dyDescent="0.25">
      <c r="B12" s="1166" t="s">
        <v>293</v>
      </c>
      <c r="C12" s="1166"/>
      <c r="D12" s="1166"/>
      <c r="E12" s="1166"/>
      <c r="F12" s="1166"/>
      <c r="G12" s="1166"/>
      <c r="H12" s="1166"/>
      <c r="I12" s="1166"/>
      <c r="J12" s="1166"/>
      <c r="K12" s="1167"/>
      <c r="L12" s="37">
        <v>8</v>
      </c>
    </row>
    <row r="13" spans="1:13" ht="30.75" customHeight="1" x14ac:dyDescent="0.25">
      <c r="A13" s="199"/>
      <c r="B13" s="1086" t="s">
        <v>292</v>
      </c>
      <c r="C13" s="1086" t="s">
        <v>294</v>
      </c>
      <c r="D13" s="1086" t="s">
        <v>14</v>
      </c>
      <c r="E13" s="37" t="s">
        <v>295</v>
      </c>
      <c r="F13" s="970" t="s">
        <v>296</v>
      </c>
      <c r="G13" s="970" t="s">
        <v>297</v>
      </c>
      <c r="H13" s="970" t="s">
        <v>298</v>
      </c>
      <c r="I13" s="970" t="s">
        <v>815</v>
      </c>
      <c r="J13" s="970" t="s">
        <v>299</v>
      </c>
      <c r="K13" s="1082"/>
      <c r="L13" s="37">
        <v>9</v>
      </c>
    </row>
    <row r="14" spans="1:13" ht="30.75" customHeight="1" x14ac:dyDescent="0.25">
      <c r="B14" s="1087"/>
      <c r="C14" s="1087"/>
      <c r="D14" s="1087"/>
      <c r="E14" s="1087" t="s">
        <v>300</v>
      </c>
      <c r="F14" s="970"/>
      <c r="G14" s="970"/>
      <c r="H14" s="970"/>
      <c r="I14" s="970"/>
      <c r="J14" s="970"/>
      <c r="K14" s="1082"/>
      <c r="L14" s="37">
        <v>10</v>
      </c>
    </row>
    <row r="15" spans="1:13" ht="30.75" customHeight="1" x14ac:dyDescent="0.25">
      <c r="B15" s="1088"/>
      <c r="C15" s="1088"/>
      <c r="D15" s="1088"/>
      <c r="E15" s="1088"/>
      <c r="F15" s="970"/>
      <c r="G15" s="970"/>
      <c r="H15" s="970"/>
      <c r="I15" s="970"/>
      <c r="J15" s="970"/>
      <c r="K15" s="1082"/>
      <c r="L15" s="37">
        <v>11</v>
      </c>
    </row>
    <row r="16" spans="1:13" ht="30.75" customHeight="1" x14ac:dyDescent="0.25">
      <c r="B16" s="1165" t="e">
        <f>+E10</f>
        <v>#REF!</v>
      </c>
      <c r="C16" s="1087">
        <f>E9</f>
        <v>0</v>
      </c>
      <c r="D16" s="1087">
        <f>E8</f>
        <v>0</v>
      </c>
      <c r="E16" s="1087">
        <f>1.6*D16*C16</f>
        <v>0</v>
      </c>
      <c r="F16" s="1087" t="e">
        <f>E16/B16</f>
        <v>#REF!</v>
      </c>
      <c r="G16" s="1087" t="e">
        <f>IF(F16&lt;=1,0,F16-1)</f>
        <v>#REF!</v>
      </c>
      <c r="H16" s="1154" t="e">
        <f>ROUND(IF(E7&lt;50,E4*G16/0.6,E5*G16/0.6),4)</f>
        <v>#REF!</v>
      </c>
      <c r="I16" s="1154" t="e">
        <f>IF(E7&gt;50,MIN(E5,H16),MIN(H16,E4))</f>
        <v>#REF!</v>
      </c>
      <c r="J16" s="1155" t="e">
        <f>ROUND(I16*B16,2)</f>
        <v>#REF!</v>
      </c>
      <c r="K16" s="1153"/>
      <c r="L16" s="37">
        <v>12</v>
      </c>
    </row>
    <row r="17" spans="1:12" ht="30.75" customHeight="1" x14ac:dyDescent="0.25">
      <c r="B17" s="1088"/>
      <c r="C17" s="1088"/>
      <c r="D17" s="1088"/>
      <c r="E17" s="1088"/>
      <c r="F17" s="1088"/>
      <c r="G17" s="1088"/>
      <c r="H17" s="1088"/>
      <c r="I17" s="1088"/>
      <c r="J17" s="1156"/>
      <c r="K17" s="1157"/>
      <c r="L17" s="37">
        <v>13</v>
      </c>
    </row>
    <row r="21" spans="1:12" ht="27.75" customHeight="1" x14ac:dyDescent="0.25"/>
    <row r="22" spans="1:12" ht="29.25" customHeight="1" x14ac:dyDescent="0.25">
      <c r="A22" s="199"/>
      <c r="B22" s="1035"/>
      <c r="C22" s="1035"/>
      <c r="D22" s="1035"/>
      <c r="E22" s="59"/>
      <c r="F22" s="1035"/>
      <c r="G22" s="1035"/>
      <c r="H22" s="59"/>
      <c r="I22" s="1035"/>
      <c r="J22" s="1035"/>
      <c r="K22" s="1035"/>
      <c r="L22" s="59"/>
    </row>
    <row r="23" spans="1:12" ht="29.25" customHeight="1" x14ac:dyDescent="0.25">
      <c r="B23" s="1035"/>
      <c r="C23" s="1035"/>
      <c r="D23" s="1035"/>
      <c r="E23" s="1035"/>
      <c r="F23" s="1035"/>
      <c r="G23" s="1035"/>
      <c r="H23" s="59"/>
      <c r="I23" s="1035"/>
      <c r="J23" s="1035"/>
      <c r="K23" s="1035"/>
      <c r="L23" s="59"/>
    </row>
    <row r="24" spans="1:12" ht="29.25" customHeight="1" x14ac:dyDescent="0.25">
      <c r="B24" s="1035"/>
      <c r="C24" s="1035"/>
      <c r="D24" s="1035"/>
      <c r="E24" s="1035"/>
      <c r="F24" s="1035"/>
      <c r="G24" s="1035"/>
      <c r="H24" s="59"/>
      <c r="I24" s="1035"/>
      <c r="J24" s="1035"/>
      <c r="K24" s="1035"/>
      <c r="L24" s="59"/>
    </row>
    <row r="25" spans="1:12" ht="29.25" customHeight="1" x14ac:dyDescent="0.25">
      <c r="B25" s="1035"/>
      <c r="C25" s="1035"/>
      <c r="D25" s="1035"/>
      <c r="E25" s="1035"/>
      <c r="F25" s="1035"/>
      <c r="G25" s="1035"/>
      <c r="H25" s="59"/>
      <c r="I25" s="1035"/>
      <c r="J25" s="1153"/>
      <c r="K25" s="1153"/>
      <c r="L25" s="59"/>
    </row>
    <row r="26" spans="1:12" ht="29.25" customHeight="1" x14ac:dyDescent="0.25">
      <c r="B26" s="1035"/>
      <c r="C26" s="1035"/>
      <c r="D26" s="1035"/>
      <c r="E26" s="1035"/>
      <c r="F26" s="1035"/>
      <c r="G26" s="1035"/>
      <c r="H26" s="59"/>
      <c r="I26" s="1035"/>
      <c r="J26" s="1153"/>
      <c r="K26" s="1153"/>
      <c r="L26" s="59"/>
    </row>
  </sheetData>
  <mergeCells count="46">
    <mergeCell ref="B1:M1"/>
    <mergeCell ref="B2:M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G25:G26"/>
    <mergeCell ref="I25:I26"/>
    <mergeCell ref="J25:K26"/>
    <mergeCell ref="E23:E24"/>
    <mergeCell ref="B25:B26"/>
    <mergeCell ref="C25:C26"/>
    <mergeCell ref="D25:D26"/>
    <mergeCell ref="E25:E26"/>
    <mergeCell ref="F25:F26"/>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68" t="s">
        <v>817</v>
      </c>
      <c r="C1" s="1168"/>
      <c r="D1" s="1168"/>
      <c r="E1" s="1168"/>
      <c r="F1" s="1168"/>
      <c r="G1" s="1168"/>
      <c r="H1" s="1168"/>
    </row>
    <row r="2" spans="2:11" ht="14.25" customHeight="1" x14ac:dyDescent="0.25"/>
    <row r="3" spans="2:11" ht="14.25" customHeight="1" x14ac:dyDescent="0.25"/>
    <row r="5" spans="2:11" ht="14.25" customHeight="1" x14ac:dyDescent="0.25">
      <c r="G5" s="181" t="s">
        <v>812</v>
      </c>
      <c r="K5" s="601">
        <v>45778</v>
      </c>
    </row>
    <row r="6" spans="2:11" ht="14.25" customHeight="1" x14ac:dyDescent="0.25">
      <c r="B6" s="38" t="s">
        <v>98</v>
      </c>
      <c r="C6" s="38" t="s">
        <v>99</v>
      </c>
      <c r="D6" s="38" t="s">
        <v>100</v>
      </c>
      <c r="E6" s="38"/>
      <c r="G6" s="181" t="s">
        <v>813</v>
      </c>
      <c r="K6" s="184"/>
    </row>
    <row r="7" spans="2:11" ht="14.25" customHeight="1" x14ac:dyDescent="0.25">
      <c r="B7" s="488">
        <v>0</v>
      </c>
      <c r="C7" s="488">
        <f>IF('BP FORMAT JUILLET 2023'!$H$10&lt;$K$5,'TAUX NEUTRE JANVIER  '!C7,'TAUX NEUTRE MAI '!C7)</f>
        <v>1591</v>
      </c>
      <c r="D7" s="488">
        <v>0</v>
      </c>
      <c r="E7" s="489" t="e">
        <f t="shared" ref="E7:E26" si="0" xml:space="preserve"> IF($H$11&gt;=B7,IF($H$11&lt;C7,D7,0),0)</f>
        <v>#REF!</v>
      </c>
    </row>
    <row r="8" spans="2:11" ht="14.25" customHeight="1" x14ac:dyDescent="0.25">
      <c r="B8" s="488">
        <f>C7</f>
        <v>1591</v>
      </c>
      <c r="C8" s="488">
        <f>IF('BP FORMAT JUILLET 2023'!$H$10&lt;$K$5,'TAUX NEUTRE JANVIER  '!C8,'TAUX NEUTRE MAI '!C8)</f>
        <v>1653</v>
      </c>
      <c r="D8" s="417">
        <v>5.0000000000000001E-3</v>
      </c>
      <c r="E8" s="417" t="e">
        <f t="shared" si="0"/>
        <v>#REF!</v>
      </c>
    </row>
    <row r="9" spans="2:11" ht="14.25" customHeight="1" x14ac:dyDescent="0.25">
      <c r="B9" s="488">
        <f t="shared" ref="B9:B26" si="1">C8</f>
        <v>1653</v>
      </c>
      <c r="C9" s="488">
        <f>IF('BP FORMAT JUILLET 2023'!$H$10&lt;$K$5,'TAUX NEUTRE JANVIER  '!C9,'TAUX NEUTRE MAI '!C9)</f>
        <v>1759</v>
      </c>
      <c r="D9" s="417">
        <v>1.2999999999999999E-2</v>
      </c>
      <c r="E9" s="417" t="e">
        <f t="shared" si="0"/>
        <v>#REF!</v>
      </c>
    </row>
    <row r="10" spans="2:11" ht="14.25" customHeight="1" x14ac:dyDescent="0.25">
      <c r="B10" s="488">
        <f t="shared" si="1"/>
        <v>1759</v>
      </c>
      <c r="C10" s="488">
        <f>IF('BP FORMAT JUILLET 2023'!$H$10&lt;$K$5,'TAUX NEUTRE JANVIER  '!C10,'TAUX NEUTRE MAI '!C10)</f>
        <v>1877</v>
      </c>
      <c r="D10" s="417">
        <v>2.1000000000000001E-2</v>
      </c>
      <c r="E10" s="417" t="e">
        <f t="shared" si="0"/>
        <v>#REF!</v>
      </c>
      <c r="G10" s="1169" t="s">
        <v>197</v>
      </c>
      <c r="H10" s="1169"/>
    </row>
    <row r="11" spans="2:11" ht="14.25" customHeight="1" x14ac:dyDescent="0.25">
      <c r="B11" s="488">
        <f t="shared" si="1"/>
        <v>1877</v>
      </c>
      <c r="C11" s="488">
        <f>IF('BP FORMAT JUILLET 2023'!$H$10&lt;$K$5,'TAUX NEUTRE JANVIER  '!C11,'TAUX NEUTRE MAI '!C11)</f>
        <v>2006</v>
      </c>
      <c r="D11" s="417">
        <v>2.9000000000000001E-2</v>
      </c>
      <c r="E11" s="417" t="e">
        <f t="shared" si="0"/>
        <v>#REF!</v>
      </c>
      <c r="G11" s="189" t="s">
        <v>96</v>
      </c>
      <c r="H11" s="190" t="e">
        <f>'BP FORMAT JUILLET 2023'!D88</f>
        <v>#REF!</v>
      </c>
    </row>
    <row r="12" spans="2:11" ht="14.25" customHeight="1" x14ac:dyDescent="0.25">
      <c r="B12" s="488">
        <f t="shared" si="1"/>
        <v>2006</v>
      </c>
      <c r="C12" s="488">
        <f>IF('BP FORMAT JUILLET 2023'!$H$10&lt;$K$5,'TAUX NEUTRE JANVIER  '!C12,'TAUX NEUTRE MAI '!C12)</f>
        <v>2113</v>
      </c>
      <c r="D12" s="417">
        <v>3.5000000000000003E-2</v>
      </c>
      <c r="E12" s="417" t="e">
        <f t="shared" si="0"/>
        <v>#REF!</v>
      </c>
      <c r="G12" s="189" t="s">
        <v>97</v>
      </c>
      <c r="H12" s="191" t="e">
        <f>E27</f>
        <v>#REF!</v>
      </c>
    </row>
    <row r="13" spans="2:11" ht="14.25" customHeight="1" x14ac:dyDescent="0.25">
      <c r="B13" s="488">
        <f t="shared" si="1"/>
        <v>2113</v>
      </c>
      <c r="C13" s="488">
        <f>IF('BP FORMAT JUILLET 2023'!$H$10&lt;$K$5,'TAUX NEUTRE JANVIER  '!C13,'TAUX NEUTRE MAI '!C13)</f>
        <v>2253</v>
      </c>
      <c r="D13" s="417">
        <v>4.1000000000000002E-2</v>
      </c>
      <c r="E13" s="417" t="e">
        <f t="shared" si="0"/>
        <v>#REF!</v>
      </c>
    </row>
    <row r="14" spans="2:11" ht="14.25" customHeight="1" x14ac:dyDescent="0.25">
      <c r="B14" s="488">
        <f t="shared" si="1"/>
        <v>2253</v>
      </c>
      <c r="C14" s="488">
        <f>IF('BP FORMAT JUILLET 2023'!$H$10&lt;$K$5,'TAUX NEUTRE JANVIER  '!C14,'TAUX NEUTRE MAI '!C14)</f>
        <v>2666</v>
      </c>
      <c r="D14" s="417">
        <v>5.2999999999999999E-2</v>
      </c>
      <c r="E14" s="417" t="e">
        <f t="shared" si="0"/>
        <v>#REF!</v>
      </c>
    </row>
    <row r="15" spans="2:11" ht="14.25" customHeight="1" x14ac:dyDescent="0.25">
      <c r="B15" s="488">
        <f t="shared" si="1"/>
        <v>2666</v>
      </c>
      <c r="C15" s="488">
        <f>IF('BP FORMAT JUILLET 2023'!$H$10&lt;$K$5,'TAUX NEUTRE JANVIER  '!C15,'TAUX NEUTRE MAI '!C15)</f>
        <v>3052</v>
      </c>
      <c r="D15" s="417">
        <v>7.4999999999999997E-2</v>
      </c>
      <c r="E15" s="417" t="e">
        <f t="shared" si="0"/>
        <v>#REF!</v>
      </c>
    </row>
    <row r="16" spans="2:11" ht="14.25" customHeight="1" x14ac:dyDescent="0.25">
      <c r="B16" s="488">
        <f t="shared" si="1"/>
        <v>3052</v>
      </c>
      <c r="C16" s="488">
        <f>IF('BP FORMAT JUILLET 2023'!$H$10&lt;$K$5,'TAUX NEUTRE JANVIER  '!C16,'TAUX NEUTRE MAI '!C16)</f>
        <v>3476</v>
      </c>
      <c r="D16" s="417">
        <v>9.9000000000000005E-2</v>
      </c>
      <c r="E16" s="417" t="e">
        <f t="shared" si="0"/>
        <v>#REF!</v>
      </c>
    </row>
    <row r="17" spans="2:11" ht="14.25" customHeight="1" x14ac:dyDescent="0.25">
      <c r="B17" s="488">
        <f t="shared" si="1"/>
        <v>3476</v>
      </c>
      <c r="C17" s="488">
        <f>IF('BP FORMAT JUILLET 2023'!$H$10&lt;$K$5,'TAUX NEUTRE JANVIER  '!C17,'TAUX NEUTRE MAI '!C17)</f>
        <v>3913</v>
      </c>
      <c r="D17" s="417">
        <v>0.11899999999999999</v>
      </c>
      <c r="E17" s="417" t="e">
        <f t="shared" si="0"/>
        <v>#REF!</v>
      </c>
    </row>
    <row r="18" spans="2:11" ht="14.25" customHeight="1" x14ac:dyDescent="0.25">
      <c r="B18" s="488">
        <f t="shared" si="1"/>
        <v>3913</v>
      </c>
      <c r="C18" s="488">
        <f>IF('BP FORMAT JUILLET 2023'!$H$10&lt;$K$5,'TAUX NEUTRE JANVIER  '!C18,'TAUX NEUTRE MAI '!C18)</f>
        <v>4566</v>
      </c>
      <c r="D18" s="417">
        <v>0.13800000000000001</v>
      </c>
      <c r="E18" s="417" t="e">
        <f t="shared" si="0"/>
        <v>#REF!</v>
      </c>
    </row>
    <row r="19" spans="2:11" ht="14.25" customHeight="1" x14ac:dyDescent="0.25">
      <c r="B19" s="488">
        <f t="shared" si="1"/>
        <v>4566</v>
      </c>
      <c r="C19" s="488">
        <f>IF('BP FORMAT JUILLET 2023'!$H$10&lt;$K$5,'TAUX NEUTRE JANVIER  '!C19,'TAUX NEUTRE MAI '!C19)</f>
        <v>5475</v>
      </c>
      <c r="D19" s="417">
        <v>0.158</v>
      </c>
      <c r="E19" s="417" t="e">
        <f t="shared" si="0"/>
        <v>#REF!</v>
      </c>
    </row>
    <row r="20" spans="2:11" ht="14.25" customHeight="1" x14ac:dyDescent="0.25">
      <c r="B20" s="488">
        <f t="shared" si="1"/>
        <v>5475</v>
      </c>
      <c r="C20" s="488">
        <f>IF('BP FORMAT JUILLET 2023'!$H$10&lt;$K$5,'TAUX NEUTRE JANVIER  '!C20,'TAUX NEUTRE MAI '!C20)</f>
        <v>6851</v>
      </c>
      <c r="D20" s="417">
        <v>0.17899999999999999</v>
      </c>
      <c r="E20" s="417" t="e">
        <f t="shared" si="0"/>
        <v>#REF!</v>
      </c>
    </row>
    <row r="21" spans="2:11" ht="14.25" customHeight="1" x14ac:dyDescent="0.25">
      <c r="B21" s="488">
        <f t="shared" si="1"/>
        <v>6851</v>
      </c>
      <c r="C21" s="488">
        <f>IF('BP FORMAT JUILLET 2023'!$H$10&lt;$K$5,'TAUX NEUTRE JANVIER  '!C21,'TAUX NEUTRE MAI '!C21)</f>
        <v>8557</v>
      </c>
      <c r="D21" s="417">
        <v>0.2</v>
      </c>
      <c r="E21" s="417" t="e">
        <f t="shared" si="0"/>
        <v>#REF!</v>
      </c>
    </row>
    <row r="22" spans="2:11" ht="14.25" customHeight="1" x14ac:dyDescent="0.25">
      <c r="B22" s="488">
        <f t="shared" si="1"/>
        <v>8557</v>
      </c>
      <c r="C22" s="488">
        <f>IF('BP FORMAT JUILLET 2023'!$H$10&lt;$K$5,'TAUX NEUTRE JANVIER  '!C22,'TAUX NEUTRE MAI '!C22)</f>
        <v>11877</v>
      </c>
      <c r="D22" s="417">
        <v>0.24</v>
      </c>
      <c r="E22" s="417" t="e">
        <f t="shared" si="0"/>
        <v>#REF!</v>
      </c>
    </row>
    <row r="23" spans="2:11" ht="14.25" customHeight="1" x14ac:dyDescent="0.25">
      <c r="B23" s="488">
        <f t="shared" si="1"/>
        <v>11877</v>
      </c>
      <c r="C23" s="488">
        <f>IF('BP FORMAT JUILLET 2023'!$H$10&lt;$K$5,'TAUX NEUTRE JANVIER  '!C23,'TAUX NEUTRE MAI '!C23)</f>
        <v>16086</v>
      </c>
      <c r="D23" s="417">
        <v>0.28000000000000003</v>
      </c>
      <c r="E23" s="417" t="e">
        <f t="shared" si="0"/>
        <v>#REF!</v>
      </c>
    </row>
    <row r="24" spans="2:11" ht="14.25" customHeight="1" x14ac:dyDescent="0.25">
      <c r="B24" s="488">
        <f t="shared" si="1"/>
        <v>16086</v>
      </c>
      <c r="C24" s="488">
        <f>IF('BP FORMAT JUILLET 2023'!$H$10&lt;$K$5,'TAUX NEUTRE JANVIER  '!C24,'TAUX NEUTRE MAI '!C24)</f>
        <v>25251</v>
      </c>
      <c r="D24" s="417">
        <v>0.33</v>
      </c>
      <c r="E24" s="417" t="e">
        <f t="shared" si="0"/>
        <v>#REF!</v>
      </c>
    </row>
    <row r="25" spans="2:11" ht="14.25" customHeight="1" x14ac:dyDescent="0.25">
      <c r="B25" s="488">
        <f t="shared" si="1"/>
        <v>25251</v>
      </c>
      <c r="C25" s="488">
        <f>IF('BP FORMAT JUILLET 2023'!$H$10&lt;$K$5,'TAUX NEUTRE JANVIER  '!C25,'TAUX NEUTRE MAI '!C25)</f>
        <v>54088</v>
      </c>
      <c r="D25" s="417">
        <v>0.38</v>
      </c>
      <c r="E25" s="417" t="e">
        <f t="shared" si="0"/>
        <v>#REF!</v>
      </c>
    </row>
    <row r="26" spans="2:11" ht="14.25" customHeight="1" x14ac:dyDescent="0.25">
      <c r="B26" s="488">
        <f t="shared" si="1"/>
        <v>54088</v>
      </c>
      <c r="C26" s="488">
        <f>IF('BP FORMAT JUILLET 2023'!$H$10&lt;$K$5,'TAUX NEUTRE JANVIER  '!C26,'TAUX NEUTRE MAI '!C26)</f>
        <v>99999999999</v>
      </c>
      <c r="D26" s="417">
        <v>0.43</v>
      </c>
      <c r="E26" s="417" t="e">
        <f t="shared" si="0"/>
        <v>#REF!</v>
      </c>
    </row>
    <row r="27" spans="2:11" ht="14.25" customHeight="1" x14ac:dyDescent="0.25">
      <c r="B27" s="183"/>
      <c r="E27" s="188" t="e">
        <f>SUM(E7:E26)</f>
        <v>#REF!</v>
      </c>
    </row>
    <row r="28" spans="2:11" ht="18" customHeight="1" x14ac:dyDescent="0.25"/>
    <row r="29" spans="2:11" ht="14.25" hidden="1" customHeight="1" x14ac:dyDescent="0.25">
      <c r="J29" s="1170"/>
      <c r="K29" s="1170"/>
    </row>
    <row r="30" spans="2:11" ht="14.25" hidden="1" customHeight="1" x14ac:dyDescent="0.25">
      <c r="B30" s="38" t="s">
        <v>98</v>
      </c>
      <c r="C30" s="38" t="s">
        <v>99</v>
      </c>
      <c r="D30" s="38" t="s">
        <v>100</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198</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71" t="s">
        <v>518</v>
      </c>
      <c r="C1" s="1171"/>
      <c r="D1" s="1171"/>
      <c r="E1" s="1171"/>
      <c r="F1" s="1171"/>
      <c r="G1" s="1171"/>
      <c r="H1" s="1171"/>
    </row>
    <row r="2" spans="2:11" ht="14.25" customHeight="1" x14ac:dyDescent="0.25"/>
    <row r="3" spans="2:11" ht="14.25" customHeight="1" x14ac:dyDescent="0.25"/>
    <row r="5" spans="2:11" ht="14.25" customHeight="1" x14ac:dyDescent="0.25"/>
    <row r="6" spans="2:11" ht="14.25" customHeight="1" x14ac:dyDescent="0.25">
      <c r="B6" s="38" t="s">
        <v>98</v>
      </c>
      <c r="C6" s="38" t="s">
        <v>99</v>
      </c>
      <c r="D6" s="38" t="s">
        <v>100</v>
      </c>
      <c r="E6" s="38"/>
      <c r="J6" s="183"/>
      <c r="K6" s="184"/>
    </row>
    <row r="7" spans="2:11" ht="14.25" customHeight="1" x14ac:dyDescent="0.25">
      <c r="B7" s="488">
        <v>0</v>
      </c>
      <c r="C7" s="488">
        <v>1591</v>
      </c>
      <c r="D7" s="488">
        <v>0</v>
      </c>
      <c r="E7" s="489">
        <f t="shared" ref="E7:E26" si="0" xml:space="preserve"> IF($H$11&gt;=B7,IF($H$11&lt;C7,D7,0),0)</f>
        <v>0</v>
      </c>
    </row>
    <row r="8" spans="2:11" ht="14.25" customHeight="1" x14ac:dyDescent="0.25">
      <c r="B8" s="488">
        <f>C7</f>
        <v>1591</v>
      </c>
      <c r="C8" s="488">
        <v>1653</v>
      </c>
      <c r="D8" s="417">
        <v>5.0000000000000001E-3</v>
      </c>
      <c r="E8" s="417">
        <f t="shared" si="0"/>
        <v>0</v>
      </c>
    </row>
    <row r="9" spans="2:11" ht="14.25" customHeight="1" x14ac:dyDescent="0.25">
      <c r="B9" s="488">
        <f t="shared" ref="B9:B26" si="1">C8</f>
        <v>1653</v>
      </c>
      <c r="C9" s="488">
        <v>1759</v>
      </c>
      <c r="D9" s="417">
        <v>1.2999999999999999E-2</v>
      </c>
      <c r="E9" s="417">
        <f t="shared" si="0"/>
        <v>0</v>
      </c>
    </row>
    <row r="10" spans="2:11" ht="14.25" customHeight="1" x14ac:dyDescent="0.25">
      <c r="B10" s="488">
        <f t="shared" si="1"/>
        <v>1759</v>
      </c>
      <c r="C10" s="488">
        <v>1877</v>
      </c>
      <c r="D10" s="417">
        <v>2.1000000000000001E-2</v>
      </c>
      <c r="E10" s="417">
        <f t="shared" si="0"/>
        <v>0</v>
      </c>
      <c r="G10" s="1169" t="s">
        <v>197</v>
      </c>
      <c r="H10" s="1169"/>
    </row>
    <row r="11" spans="2:11" ht="14.25" customHeight="1" x14ac:dyDescent="0.25">
      <c r="B11" s="488">
        <f t="shared" si="1"/>
        <v>1877</v>
      </c>
      <c r="C11" s="488">
        <v>2006</v>
      </c>
      <c r="D11" s="417">
        <v>2.9000000000000001E-2</v>
      </c>
      <c r="E11" s="417">
        <f t="shared" si="0"/>
        <v>0</v>
      </c>
      <c r="G11" s="189" t="s">
        <v>96</v>
      </c>
      <c r="H11" s="190">
        <v>3000</v>
      </c>
    </row>
    <row r="12" spans="2:11" ht="14.25" customHeight="1" x14ac:dyDescent="0.25">
      <c r="B12" s="488">
        <f t="shared" si="1"/>
        <v>2006</v>
      </c>
      <c r="C12" s="488">
        <v>2113</v>
      </c>
      <c r="D12" s="417">
        <v>3.5000000000000003E-2</v>
      </c>
      <c r="E12" s="417">
        <f t="shared" si="0"/>
        <v>0</v>
      </c>
      <c r="G12" s="189" t="s">
        <v>97</v>
      </c>
      <c r="H12" s="191">
        <f>E27</f>
        <v>7.4999999999999997E-2</v>
      </c>
    </row>
    <row r="13" spans="2:11" ht="14.25" customHeight="1" x14ac:dyDescent="0.25">
      <c r="B13" s="488">
        <f t="shared" si="1"/>
        <v>2113</v>
      </c>
      <c r="C13" s="488">
        <v>2253</v>
      </c>
      <c r="D13" s="417">
        <v>4.1000000000000002E-2</v>
      </c>
      <c r="E13" s="417">
        <f t="shared" si="0"/>
        <v>0</v>
      </c>
    </row>
    <row r="14" spans="2:11" ht="14.25" customHeight="1" x14ac:dyDescent="0.25">
      <c r="B14" s="488">
        <f t="shared" si="1"/>
        <v>2253</v>
      </c>
      <c r="C14" s="488">
        <v>2666</v>
      </c>
      <c r="D14" s="417">
        <v>5.2999999999999999E-2</v>
      </c>
      <c r="E14" s="417">
        <f t="shared" si="0"/>
        <v>0</v>
      </c>
    </row>
    <row r="15" spans="2:11" ht="14.25" customHeight="1" x14ac:dyDescent="0.25">
      <c r="B15" s="488">
        <f t="shared" si="1"/>
        <v>2666</v>
      </c>
      <c r="C15" s="488">
        <v>3052</v>
      </c>
      <c r="D15" s="417">
        <v>7.4999999999999997E-2</v>
      </c>
      <c r="E15" s="417">
        <f t="shared" si="0"/>
        <v>7.4999999999999997E-2</v>
      </c>
    </row>
    <row r="16" spans="2:11" ht="14.25" customHeight="1" x14ac:dyDescent="0.25">
      <c r="B16" s="488">
        <f t="shared" si="1"/>
        <v>3052</v>
      </c>
      <c r="C16" s="488">
        <v>3476</v>
      </c>
      <c r="D16" s="417">
        <v>9.9000000000000005E-2</v>
      </c>
      <c r="E16" s="417">
        <f t="shared" si="0"/>
        <v>0</v>
      </c>
    </row>
    <row r="17" spans="2:11" ht="14.25" customHeight="1" x14ac:dyDescent="0.25">
      <c r="B17" s="488">
        <f t="shared" si="1"/>
        <v>3476</v>
      </c>
      <c r="C17" s="488">
        <v>3913</v>
      </c>
      <c r="D17" s="417">
        <v>0.11899999999999999</v>
      </c>
      <c r="E17" s="417">
        <f t="shared" si="0"/>
        <v>0</v>
      </c>
    </row>
    <row r="18" spans="2:11" ht="14.25" customHeight="1" x14ac:dyDescent="0.25">
      <c r="B18" s="488">
        <f t="shared" si="1"/>
        <v>3913</v>
      </c>
      <c r="C18" s="488">
        <v>4566</v>
      </c>
      <c r="D18" s="417">
        <v>0.13800000000000001</v>
      </c>
      <c r="E18" s="417">
        <f t="shared" si="0"/>
        <v>0</v>
      </c>
    </row>
    <row r="19" spans="2:11" ht="14.25" customHeight="1" x14ac:dyDescent="0.25">
      <c r="B19" s="488">
        <f t="shared" si="1"/>
        <v>4566</v>
      </c>
      <c r="C19" s="488">
        <v>5475</v>
      </c>
      <c r="D19" s="417">
        <v>0.158</v>
      </c>
      <c r="E19" s="417">
        <f t="shared" si="0"/>
        <v>0</v>
      </c>
    </row>
    <row r="20" spans="2:11" ht="14.25" customHeight="1" x14ac:dyDescent="0.25">
      <c r="B20" s="488">
        <f t="shared" si="1"/>
        <v>5475</v>
      </c>
      <c r="C20" s="488">
        <v>6851</v>
      </c>
      <c r="D20" s="417">
        <v>0.17899999999999999</v>
      </c>
      <c r="E20" s="417">
        <f t="shared" si="0"/>
        <v>0</v>
      </c>
    </row>
    <row r="21" spans="2:11" ht="14.25" customHeight="1" x14ac:dyDescent="0.25">
      <c r="B21" s="488">
        <f t="shared" si="1"/>
        <v>6851</v>
      </c>
      <c r="C21" s="488">
        <v>8557</v>
      </c>
      <c r="D21" s="417">
        <v>0.2</v>
      </c>
      <c r="E21" s="417">
        <f t="shared" si="0"/>
        <v>0</v>
      </c>
    </row>
    <row r="22" spans="2:11" ht="14.25" customHeight="1" x14ac:dyDescent="0.25">
      <c r="B22" s="488">
        <f t="shared" si="1"/>
        <v>8557</v>
      </c>
      <c r="C22" s="488">
        <v>11877</v>
      </c>
      <c r="D22" s="417">
        <v>0.24</v>
      </c>
      <c r="E22" s="417">
        <f t="shared" si="0"/>
        <v>0</v>
      </c>
    </row>
    <row r="23" spans="2:11" ht="14.25" customHeight="1" x14ac:dyDescent="0.25">
      <c r="B23" s="488">
        <f t="shared" si="1"/>
        <v>11877</v>
      </c>
      <c r="C23" s="488">
        <v>16086</v>
      </c>
      <c r="D23" s="417">
        <v>0.28000000000000003</v>
      </c>
      <c r="E23" s="417">
        <f t="shared" si="0"/>
        <v>0</v>
      </c>
    </row>
    <row r="24" spans="2:11" ht="14.25" customHeight="1" x14ac:dyDescent="0.25">
      <c r="B24" s="488">
        <f t="shared" si="1"/>
        <v>16086</v>
      </c>
      <c r="C24" s="488">
        <v>25251</v>
      </c>
      <c r="D24" s="417">
        <v>0.33</v>
      </c>
      <c r="E24" s="417">
        <f t="shared" si="0"/>
        <v>0</v>
      </c>
    </row>
    <row r="25" spans="2:11" ht="14.25" customHeight="1" x14ac:dyDescent="0.25">
      <c r="B25" s="488">
        <f t="shared" si="1"/>
        <v>25251</v>
      </c>
      <c r="C25" s="488">
        <v>54088</v>
      </c>
      <c r="D25" s="417">
        <v>0.38</v>
      </c>
      <c r="E25" s="417">
        <f t="shared" si="0"/>
        <v>0</v>
      </c>
    </row>
    <row r="26" spans="2:11" ht="14.25" customHeight="1" x14ac:dyDescent="0.25">
      <c r="B26" s="488">
        <f t="shared" si="1"/>
        <v>54088</v>
      </c>
      <c r="C26" s="488">
        <v>99999999999</v>
      </c>
      <c r="D26" s="417">
        <v>0.43</v>
      </c>
      <c r="E26" s="417">
        <f t="shared" si="0"/>
        <v>0</v>
      </c>
    </row>
    <row r="27" spans="2:11" ht="14.25" customHeight="1" x14ac:dyDescent="0.25">
      <c r="B27" s="183"/>
      <c r="E27" s="188">
        <f>SUM(E7:E26)</f>
        <v>7.4999999999999997E-2</v>
      </c>
    </row>
    <row r="28" spans="2:11" ht="18" customHeight="1" x14ac:dyDescent="0.25"/>
    <row r="29" spans="2:11" ht="14.25" hidden="1" customHeight="1" x14ac:dyDescent="0.25">
      <c r="J29" s="1170"/>
      <c r="K29" s="1170"/>
    </row>
    <row r="30" spans="2:11" ht="14.25" hidden="1" customHeight="1" x14ac:dyDescent="0.25">
      <c r="B30" s="38" t="s">
        <v>98</v>
      </c>
      <c r="C30" s="38" t="s">
        <v>99</v>
      </c>
      <c r="D30" s="38" t="s">
        <v>100</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198</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171" t="s">
        <v>518</v>
      </c>
      <c r="C1" s="1171"/>
      <c r="D1" s="1171"/>
      <c r="E1" s="1171"/>
      <c r="F1" s="1171"/>
      <c r="G1" s="1171"/>
      <c r="H1" s="1171"/>
    </row>
    <row r="2" spans="2:11" ht="14.25" customHeight="1" x14ac:dyDescent="0.25"/>
    <row r="3" spans="2:11" ht="14.25" customHeight="1" x14ac:dyDescent="0.25"/>
    <row r="5" spans="2:11" ht="14.25" customHeight="1" x14ac:dyDescent="0.25"/>
    <row r="6" spans="2:11" ht="14.25" customHeight="1" x14ac:dyDescent="0.25">
      <c r="C6" s="38" t="s">
        <v>98</v>
      </c>
      <c r="D6" s="38" t="s">
        <v>100</v>
      </c>
      <c r="E6" s="38"/>
      <c r="J6" s="183"/>
      <c r="K6" s="184"/>
    </row>
    <row r="7" spans="2:11" ht="14.25" customHeight="1" x14ac:dyDescent="0.25">
      <c r="B7" s="596">
        <v>0</v>
      </c>
      <c r="C7" s="596">
        <v>1620</v>
      </c>
      <c r="D7" s="488">
        <v>0</v>
      </c>
      <c r="E7" s="489">
        <f t="shared" ref="E7:E26" si="0" xml:space="preserve"> IF($H$11&gt;=B7,IF($H$11&lt;C7,D7,0),0)</f>
        <v>0</v>
      </c>
    </row>
    <row r="8" spans="2:11" ht="14.25" customHeight="1" x14ac:dyDescent="0.25">
      <c r="B8" s="596">
        <f>C7</f>
        <v>1620</v>
      </c>
      <c r="C8" s="596">
        <v>1683</v>
      </c>
      <c r="D8" s="417">
        <v>5.0000000000000001E-3</v>
      </c>
      <c r="E8" s="417">
        <f t="shared" si="0"/>
        <v>0</v>
      </c>
    </row>
    <row r="9" spans="2:11" ht="14.25" customHeight="1" x14ac:dyDescent="0.25">
      <c r="B9" s="596">
        <f>C8</f>
        <v>1683</v>
      </c>
      <c r="C9" s="596">
        <v>1791</v>
      </c>
      <c r="D9" s="417">
        <v>1.2999999999999999E-2</v>
      </c>
      <c r="E9" s="417">
        <f t="shared" si="0"/>
        <v>0</v>
      </c>
    </row>
    <row r="10" spans="2:11" ht="14.25" customHeight="1" x14ac:dyDescent="0.25">
      <c r="B10" s="596">
        <f>C9</f>
        <v>1791</v>
      </c>
      <c r="C10" s="596">
        <v>1911</v>
      </c>
      <c r="D10" s="417">
        <v>2.1000000000000001E-2</v>
      </c>
      <c r="E10" s="417">
        <f t="shared" si="0"/>
        <v>0</v>
      </c>
      <c r="G10" s="1172" t="s">
        <v>197</v>
      </c>
      <c r="H10" s="1173"/>
    </row>
    <row r="11" spans="2:11" ht="14.25" customHeight="1" x14ac:dyDescent="0.25">
      <c r="B11" s="596">
        <f>C10</f>
        <v>1911</v>
      </c>
      <c r="C11" s="596">
        <v>2042</v>
      </c>
      <c r="D11" s="417">
        <v>2.9000000000000001E-2</v>
      </c>
      <c r="E11" s="417">
        <f t="shared" si="0"/>
        <v>0</v>
      </c>
      <c r="G11" s="189" t="s">
        <v>96</v>
      </c>
      <c r="H11" s="190">
        <v>3000</v>
      </c>
    </row>
    <row r="12" spans="2:11" ht="14.25" customHeight="1" x14ac:dyDescent="0.25">
      <c r="B12" s="596">
        <f>C11</f>
        <v>2042</v>
      </c>
      <c r="C12" s="596">
        <v>2151</v>
      </c>
      <c r="D12" s="417">
        <v>3.5000000000000003E-2</v>
      </c>
      <c r="E12" s="417">
        <f t="shared" si="0"/>
        <v>0</v>
      </c>
      <c r="G12" s="189" t="s">
        <v>97</v>
      </c>
      <c r="H12" s="191">
        <f>E27</f>
        <v>7.4999999999999997E-2</v>
      </c>
    </row>
    <row r="13" spans="2:11" ht="14.25" customHeight="1" x14ac:dyDescent="0.25">
      <c r="B13" s="596">
        <f t="shared" ref="B13:B24" si="1">C12</f>
        <v>2151</v>
      </c>
      <c r="C13" s="596">
        <v>2294</v>
      </c>
      <c r="D13" s="417">
        <v>4.1000000000000002E-2</v>
      </c>
      <c r="E13" s="417">
        <f t="shared" si="0"/>
        <v>0</v>
      </c>
    </row>
    <row r="14" spans="2:11" ht="14.25" customHeight="1" x14ac:dyDescent="0.25">
      <c r="B14" s="596">
        <f t="shared" si="1"/>
        <v>2294</v>
      </c>
      <c r="C14" s="596">
        <v>2714</v>
      </c>
      <c r="D14" s="417">
        <v>5.2999999999999999E-2</v>
      </c>
      <c r="E14" s="417">
        <f t="shared" si="0"/>
        <v>0</v>
      </c>
    </row>
    <row r="15" spans="2:11" ht="14.25" customHeight="1" x14ac:dyDescent="0.25">
      <c r="B15" s="596">
        <f t="shared" si="1"/>
        <v>2714</v>
      </c>
      <c r="C15" s="596">
        <v>3107</v>
      </c>
      <c r="D15" s="417">
        <v>7.4999999999999997E-2</v>
      </c>
      <c r="E15" s="417">
        <f t="shared" si="0"/>
        <v>7.4999999999999997E-2</v>
      </c>
    </row>
    <row r="16" spans="2:11" ht="14.25" customHeight="1" x14ac:dyDescent="0.25">
      <c r="B16" s="596">
        <f t="shared" si="1"/>
        <v>3107</v>
      </c>
      <c r="C16" s="596">
        <v>3539</v>
      </c>
      <c r="D16" s="417">
        <v>9.9000000000000005E-2</v>
      </c>
      <c r="E16" s="417">
        <f t="shared" si="0"/>
        <v>0</v>
      </c>
    </row>
    <row r="17" spans="2:11" ht="14.25" customHeight="1" x14ac:dyDescent="0.25">
      <c r="B17" s="596">
        <f t="shared" si="1"/>
        <v>3539</v>
      </c>
      <c r="C17" s="596">
        <v>3983</v>
      </c>
      <c r="D17" s="417">
        <v>0.11899999999999999</v>
      </c>
      <c r="E17" s="417">
        <f t="shared" si="0"/>
        <v>0</v>
      </c>
    </row>
    <row r="18" spans="2:11" ht="14.25" customHeight="1" x14ac:dyDescent="0.25">
      <c r="B18" s="596">
        <f t="shared" si="1"/>
        <v>3983</v>
      </c>
      <c r="C18" s="596">
        <v>4648</v>
      </c>
      <c r="D18" s="417">
        <v>0.13800000000000001</v>
      </c>
      <c r="E18" s="417">
        <f t="shared" si="0"/>
        <v>0</v>
      </c>
    </row>
    <row r="19" spans="2:11" ht="14.25" customHeight="1" x14ac:dyDescent="0.25">
      <c r="B19" s="596">
        <f t="shared" si="1"/>
        <v>4648</v>
      </c>
      <c r="C19" s="596">
        <v>5574</v>
      </c>
      <c r="D19" s="417">
        <v>0.158</v>
      </c>
      <c r="E19" s="417">
        <f t="shared" si="0"/>
        <v>0</v>
      </c>
    </row>
    <row r="20" spans="2:11" ht="14.25" customHeight="1" x14ac:dyDescent="0.25">
      <c r="B20" s="596">
        <f t="shared" si="1"/>
        <v>5574</v>
      </c>
      <c r="C20" s="596">
        <v>6974</v>
      </c>
      <c r="D20" s="417">
        <v>0.17899999999999999</v>
      </c>
      <c r="E20" s="417">
        <f t="shared" si="0"/>
        <v>0</v>
      </c>
    </row>
    <row r="21" spans="2:11" ht="14.25" customHeight="1" x14ac:dyDescent="0.25">
      <c r="B21" s="596">
        <f t="shared" si="1"/>
        <v>6974</v>
      </c>
      <c r="C21" s="596">
        <v>8711</v>
      </c>
      <c r="D21" s="417">
        <v>0.2</v>
      </c>
      <c r="E21" s="417">
        <f t="shared" si="0"/>
        <v>0</v>
      </c>
    </row>
    <row r="22" spans="2:11" ht="14.25" customHeight="1" x14ac:dyDescent="0.25">
      <c r="B22" s="596">
        <f t="shared" si="1"/>
        <v>8711</v>
      </c>
      <c r="C22" s="596">
        <v>12091</v>
      </c>
      <c r="D22" s="417">
        <v>0.24</v>
      </c>
      <c r="E22" s="417">
        <f t="shared" si="0"/>
        <v>0</v>
      </c>
    </row>
    <row r="23" spans="2:11" ht="14.25" customHeight="1" x14ac:dyDescent="0.25">
      <c r="B23" s="596">
        <f t="shared" si="1"/>
        <v>12091</v>
      </c>
      <c r="C23" s="596">
        <v>16376</v>
      </c>
      <c r="D23" s="417">
        <v>0.28000000000000003</v>
      </c>
      <c r="E23" s="417">
        <f t="shared" si="0"/>
        <v>0</v>
      </c>
    </row>
    <row r="24" spans="2:11" ht="14.25" customHeight="1" x14ac:dyDescent="0.25">
      <c r="B24" s="596">
        <f t="shared" si="1"/>
        <v>16376</v>
      </c>
      <c r="C24" s="596">
        <v>25706</v>
      </c>
      <c r="D24" s="417">
        <v>0.33</v>
      </c>
      <c r="E24" s="417">
        <f t="shared" si="0"/>
        <v>0</v>
      </c>
    </row>
    <row r="25" spans="2:11" ht="14.25" customHeight="1" x14ac:dyDescent="0.25">
      <c r="B25" s="596">
        <f>C24</f>
        <v>25706</v>
      </c>
      <c r="C25" s="596">
        <v>55062</v>
      </c>
      <c r="D25" s="417">
        <v>0.38</v>
      </c>
      <c r="E25" s="417">
        <f t="shared" si="0"/>
        <v>0</v>
      </c>
    </row>
    <row r="26" spans="2:11" ht="14.25" customHeight="1" x14ac:dyDescent="0.25">
      <c r="B26" s="596">
        <f>C25</f>
        <v>55062</v>
      </c>
      <c r="C26" s="596"/>
      <c r="D26" s="417">
        <v>0.43</v>
      </c>
      <c r="E26" s="417">
        <f t="shared" si="0"/>
        <v>0</v>
      </c>
    </row>
    <row r="27" spans="2:11" ht="14.25" customHeight="1" x14ac:dyDescent="0.25">
      <c r="B27" s="597"/>
      <c r="C27" s="597"/>
      <c r="E27" s="188">
        <f>SUM(E7:E26)</f>
        <v>7.4999999999999997E-2</v>
      </c>
    </row>
    <row r="28" spans="2:11" ht="18" customHeight="1" x14ac:dyDescent="0.25"/>
    <row r="29" spans="2:11" ht="14.25" hidden="1" customHeight="1" x14ac:dyDescent="0.25">
      <c r="B29" s="598" t="s">
        <v>811</v>
      </c>
      <c r="C29" s="598"/>
      <c r="J29" s="1170"/>
      <c r="K29" s="1170"/>
    </row>
    <row r="30" spans="2:11" ht="14.25" hidden="1" customHeight="1" x14ac:dyDescent="0.25">
      <c r="D30" s="38" t="s">
        <v>100</v>
      </c>
      <c r="E30" s="38"/>
      <c r="K30" s="193"/>
    </row>
    <row r="31" spans="2:11" ht="14.25" hidden="1" customHeight="1" x14ac:dyDescent="0.25">
      <c r="D31" s="185">
        <v>0</v>
      </c>
      <c r="E31" s="186">
        <f t="shared" ref="E31:E50" si="2" xml:space="preserve"> IF($G$34&gt;=B31,IF($G$34&lt;C31,D31,0),0)</f>
        <v>0</v>
      </c>
      <c r="K31" s="194"/>
    </row>
    <row r="32" spans="2:11" ht="14.25" hidden="1" customHeight="1" x14ac:dyDescent="0.25">
      <c r="D32" s="187">
        <v>5.0000000000000001E-3</v>
      </c>
      <c r="E32" s="188">
        <f t="shared" si="2"/>
        <v>0</v>
      </c>
      <c r="F32" s="195"/>
    </row>
    <row r="33" spans="4:7" ht="14.25" hidden="1" customHeight="1" x14ac:dyDescent="0.25">
      <c r="D33" s="187">
        <v>1.2999999999999999E-2</v>
      </c>
      <c r="E33" s="188">
        <f t="shared" si="2"/>
        <v>0</v>
      </c>
      <c r="F33" s="195"/>
      <c r="G33" s="189" t="s">
        <v>198</v>
      </c>
    </row>
    <row r="34" spans="4:7" ht="14.25" hidden="1" customHeight="1" x14ac:dyDescent="0.25">
      <c r="D34" s="188">
        <v>2.1000000000000001E-2</v>
      </c>
      <c r="E34" s="188">
        <f t="shared" si="2"/>
        <v>0</v>
      </c>
      <c r="F34" s="195"/>
      <c r="G34" s="190"/>
    </row>
    <row r="35" spans="4:7" ht="14.25" hidden="1" customHeight="1" x14ac:dyDescent="0.25">
      <c r="D35" s="188">
        <v>2.9000000000000001E-2</v>
      </c>
      <c r="E35" s="188">
        <f t="shared" si="2"/>
        <v>0</v>
      </c>
      <c r="F35" s="195"/>
      <c r="G35" s="191"/>
    </row>
    <row r="36" spans="4:7" ht="14.25" hidden="1" customHeight="1" x14ac:dyDescent="0.25">
      <c r="D36" s="188">
        <v>3.5000000000000003E-2</v>
      </c>
      <c r="E36" s="188">
        <f t="shared" si="2"/>
        <v>0</v>
      </c>
      <c r="F36" s="195"/>
    </row>
    <row r="37" spans="4:7" ht="14.25" hidden="1" customHeight="1" x14ac:dyDescent="0.25">
      <c r="D37" s="188">
        <v>4.1000000000000002E-2</v>
      </c>
      <c r="E37" s="188">
        <f t="shared" si="2"/>
        <v>0</v>
      </c>
      <c r="F37" s="195"/>
    </row>
    <row r="38" spans="4:7" ht="14.25" hidden="1" customHeight="1" x14ac:dyDescent="0.25">
      <c r="D38" s="188">
        <v>5.2999999999999999E-2</v>
      </c>
      <c r="E38" s="188">
        <f t="shared" si="2"/>
        <v>0</v>
      </c>
      <c r="F38" s="195"/>
    </row>
    <row r="39" spans="4:7" ht="14.25" hidden="1" customHeight="1" x14ac:dyDescent="0.25">
      <c r="D39" s="188">
        <v>7.4999999999999997E-2</v>
      </c>
      <c r="E39" s="188">
        <f t="shared" si="2"/>
        <v>0</v>
      </c>
      <c r="F39" s="195"/>
    </row>
    <row r="40" spans="4:7" ht="14.25" hidden="1" customHeight="1" x14ac:dyDescent="0.25">
      <c r="D40" s="188">
        <v>9.9000000000000005E-2</v>
      </c>
      <c r="E40" s="188">
        <f t="shared" si="2"/>
        <v>0</v>
      </c>
      <c r="F40" s="195"/>
    </row>
    <row r="41" spans="4:7" ht="14.25" hidden="1" customHeight="1" x14ac:dyDescent="0.25">
      <c r="D41" s="188">
        <v>0.11899999999999999</v>
      </c>
      <c r="E41" s="188">
        <f t="shared" si="2"/>
        <v>0</v>
      </c>
      <c r="F41" s="195"/>
    </row>
    <row r="42" spans="4:7" ht="14.25" hidden="1" customHeight="1" x14ac:dyDescent="0.25">
      <c r="D42" s="188">
        <v>0.13800000000000001</v>
      </c>
      <c r="E42" s="188">
        <f t="shared" si="2"/>
        <v>0</v>
      </c>
      <c r="F42" s="195"/>
    </row>
    <row r="43" spans="4:7" ht="14.25" hidden="1" customHeight="1" x14ac:dyDescent="0.25">
      <c r="D43" s="188">
        <v>0.158</v>
      </c>
      <c r="E43" s="188">
        <f t="shared" si="2"/>
        <v>0</v>
      </c>
      <c r="F43" s="195"/>
    </row>
    <row r="44" spans="4:7" ht="14.25" hidden="1" customHeight="1" x14ac:dyDescent="0.25">
      <c r="D44" s="188">
        <v>0.17899999999999999</v>
      </c>
      <c r="E44" s="188">
        <f t="shared" si="2"/>
        <v>0</v>
      </c>
      <c r="F44" s="195"/>
    </row>
    <row r="45" spans="4:7" ht="14.25" hidden="1" customHeight="1" x14ac:dyDescent="0.25">
      <c r="D45" s="188">
        <v>0.2</v>
      </c>
      <c r="E45" s="188">
        <f t="shared" si="2"/>
        <v>0</v>
      </c>
      <c r="F45" s="195"/>
    </row>
    <row r="46" spans="4:7" ht="14.25" hidden="1" customHeight="1" x14ac:dyDescent="0.25">
      <c r="D46" s="188">
        <v>0.24</v>
      </c>
      <c r="E46" s="188">
        <f t="shared" si="2"/>
        <v>0</v>
      </c>
      <c r="F46" s="195"/>
    </row>
    <row r="47" spans="4:7" ht="14.25" hidden="1" customHeight="1" x14ac:dyDescent="0.25">
      <c r="D47" s="188">
        <v>0.28000000000000003</v>
      </c>
      <c r="E47" s="188">
        <f t="shared" si="2"/>
        <v>0</v>
      </c>
      <c r="F47" s="195"/>
    </row>
    <row r="48" spans="4:7" ht="14.25" hidden="1" customHeight="1" x14ac:dyDescent="0.25">
      <c r="D48" s="188">
        <v>0.33</v>
      </c>
      <c r="E48" s="188">
        <f t="shared" si="2"/>
        <v>0</v>
      </c>
      <c r="F48" s="195"/>
    </row>
    <row r="49" spans="4:6" ht="14.25" hidden="1" customHeight="1" x14ac:dyDescent="0.25">
      <c r="D49" s="188">
        <v>0.38</v>
      </c>
      <c r="E49" s="188">
        <f t="shared" si="2"/>
        <v>0</v>
      </c>
      <c r="F49" s="195"/>
    </row>
    <row r="50" spans="4:6" ht="14.25" hidden="1" customHeight="1" x14ac:dyDescent="0.25">
      <c r="D50" s="188">
        <v>0.43</v>
      </c>
      <c r="E50" s="188">
        <f t="shared" si="2"/>
        <v>0</v>
      </c>
      <c r="F50" s="195"/>
    </row>
    <row r="51" spans="4:6" ht="14.25" hidden="1" customHeight="1" x14ac:dyDescent="0.25">
      <c r="E51" s="188">
        <f>SUM(E31:E50)</f>
        <v>0</v>
      </c>
      <c r="F51" s="196"/>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8" zoomScale="115" zoomScaleNormal="115" workbookViewId="0">
      <selection activeCell="M24" sqref="M24"/>
    </sheetView>
  </sheetViews>
  <sheetFormatPr baseColWidth="10" defaultColWidth="11.42578125" defaultRowHeight="15.75" x14ac:dyDescent="0.25"/>
  <cols>
    <col min="1" max="16384" width="11.42578125" style="181"/>
  </cols>
  <sheetData>
    <row r="3" spans="2:4" x14ac:dyDescent="0.25">
      <c r="B3" s="181" t="s">
        <v>675</v>
      </c>
    </row>
    <row r="5" spans="2:4" x14ac:dyDescent="0.25">
      <c r="C5" s="181" t="s">
        <v>676</v>
      </c>
    </row>
    <row r="6" spans="2:4" x14ac:dyDescent="0.25">
      <c r="C6" s="181" t="s">
        <v>677</v>
      </c>
    </row>
    <row r="8" spans="2:4" x14ac:dyDescent="0.25">
      <c r="B8" s="181" t="s">
        <v>678</v>
      </c>
    </row>
    <row r="9" spans="2:4" x14ac:dyDescent="0.25">
      <c r="B9" s="181" t="s">
        <v>745</v>
      </c>
    </row>
    <row r="11" spans="2:4" x14ac:dyDescent="0.25">
      <c r="C11" s="181" t="s">
        <v>679</v>
      </c>
    </row>
    <row r="13" spans="2:4" x14ac:dyDescent="0.25">
      <c r="D13" s="181" t="s">
        <v>741</v>
      </c>
    </row>
    <row r="14" spans="2:4" x14ac:dyDescent="0.25">
      <c r="D14" s="181" t="s">
        <v>525</v>
      </c>
    </row>
    <row r="15" spans="2:4" x14ac:dyDescent="0.25">
      <c r="D15" s="181" t="s">
        <v>680</v>
      </c>
    </row>
    <row r="16" spans="2:4" x14ac:dyDescent="0.25">
      <c r="D16" s="181" t="s">
        <v>681</v>
      </c>
    </row>
    <row r="17" spans="4:7" x14ac:dyDescent="0.25">
      <c r="D17" s="181" t="s">
        <v>682</v>
      </c>
      <c r="G17" s="181" t="s">
        <v>683</v>
      </c>
    </row>
    <row r="18" spans="4:7" x14ac:dyDescent="0.25">
      <c r="D18" s="181" t="s">
        <v>534</v>
      </c>
      <c r="G18" s="181" t="s">
        <v>871</v>
      </c>
    </row>
    <row r="19" spans="4:7" x14ac:dyDescent="0.25">
      <c r="D19" s="181" t="s">
        <v>684</v>
      </c>
      <c r="G19" s="56" t="s">
        <v>685</v>
      </c>
    </row>
    <row r="20" spans="4:7" x14ac:dyDescent="0.25">
      <c r="G20" s="181" t="s">
        <v>686</v>
      </c>
    </row>
    <row r="21" spans="4:7" x14ac:dyDescent="0.25">
      <c r="D21" s="181" t="s">
        <v>687</v>
      </c>
      <c r="G21" s="181" t="s">
        <v>688</v>
      </c>
    </row>
    <row r="22" spans="4:7" x14ac:dyDescent="0.25">
      <c r="G22" s="181" t="s">
        <v>689</v>
      </c>
    </row>
    <row r="23" spans="4:7" x14ac:dyDescent="0.25">
      <c r="G23" s="181" t="s">
        <v>872</v>
      </c>
    </row>
    <row r="24" spans="4:7" x14ac:dyDescent="0.25">
      <c r="G24" s="181" t="s">
        <v>873</v>
      </c>
    </row>
    <row r="25" spans="4:7" x14ac:dyDescent="0.25">
      <c r="D25" s="181" t="s">
        <v>690</v>
      </c>
      <c r="G25" s="181" t="s">
        <v>742</v>
      </c>
    </row>
    <row r="26" spans="4:7" x14ac:dyDescent="0.25">
      <c r="D26" s="181" t="s">
        <v>691</v>
      </c>
      <c r="G26" s="181" t="s">
        <v>692</v>
      </c>
    </row>
    <row r="27" spans="4:7" x14ac:dyDescent="0.25">
      <c r="D27" s="181" t="s">
        <v>693</v>
      </c>
      <c r="G27" s="499" t="s">
        <v>694</v>
      </c>
    </row>
    <row r="28" spans="4:7" x14ac:dyDescent="0.25">
      <c r="D28" s="181" t="s">
        <v>695</v>
      </c>
      <c r="G28" s="181" t="s">
        <v>696</v>
      </c>
    </row>
    <row r="29" spans="4:7" x14ac:dyDescent="0.25">
      <c r="D29" s="181" t="s">
        <v>697</v>
      </c>
      <c r="G29" s="181" t="s">
        <v>698</v>
      </c>
    </row>
    <row r="30" spans="4:7" x14ac:dyDescent="0.25">
      <c r="D30" s="181" t="s">
        <v>699</v>
      </c>
      <c r="G30" s="181" t="s">
        <v>700</v>
      </c>
    </row>
    <row r="31" spans="4:7" x14ac:dyDescent="0.25">
      <c r="D31" s="181" t="s">
        <v>701</v>
      </c>
      <c r="G31" s="181" t="s">
        <v>702</v>
      </c>
    </row>
    <row r="32" spans="4:7" x14ac:dyDescent="0.25">
      <c r="D32" s="181" t="s">
        <v>874</v>
      </c>
    </row>
  </sheetData>
  <phoneticPr fontId="75"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5" x14ac:dyDescent="0.25"/>
  <cols>
    <col min="1" max="1" width="4.7109375" style="104"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1174" t="s">
        <v>505</v>
      </c>
      <c r="C1" s="1174"/>
      <c r="D1" s="1174"/>
      <c r="E1" s="1174"/>
      <c r="F1" s="1174"/>
      <c r="G1" s="1174"/>
    </row>
    <row r="2" spans="1:11" ht="26.45" customHeight="1" x14ac:dyDescent="0.25">
      <c r="B2" s="1175"/>
      <c r="C2" s="1175"/>
      <c r="D2" s="1175"/>
      <c r="E2" s="1175"/>
      <c r="F2" s="1175"/>
      <c r="G2" s="1175"/>
    </row>
    <row r="3" spans="1:11" ht="23.25" customHeight="1" x14ac:dyDescent="0.25">
      <c r="B3" s="1179" t="s">
        <v>506</v>
      </c>
      <c r="C3" s="1179"/>
      <c r="D3" s="1176" t="s">
        <v>507</v>
      </c>
      <c r="E3" s="1176"/>
      <c r="F3" s="1176"/>
      <c r="G3" s="1176"/>
    </row>
    <row r="4" spans="1:11" ht="26.45" customHeight="1" x14ac:dyDescent="0.25">
      <c r="B4" s="1177" t="s">
        <v>401</v>
      </c>
      <c r="C4" s="1178"/>
      <c r="D4" s="104"/>
      <c r="F4" s="104"/>
      <c r="G4" s="104"/>
    </row>
    <row r="5" spans="1:11" ht="38.25" x14ac:dyDescent="0.25">
      <c r="A5" s="44">
        <v>1</v>
      </c>
      <c r="B5" s="500" t="s">
        <v>519</v>
      </c>
      <c r="C5" s="437">
        <v>45748</v>
      </c>
      <c r="E5" s="1179">
        <f>ROUND(1.4*11.88*151.67*3*50%/91.25,2)</f>
        <v>41.47</v>
      </c>
      <c r="F5" s="1179" t="s">
        <v>508</v>
      </c>
      <c r="G5" s="1179"/>
      <c r="I5" s="104"/>
      <c r="J5" s="104"/>
      <c r="K5" s="104"/>
    </row>
    <row r="6" spans="1:11" ht="41.25" customHeight="1" x14ac:dyDescent="0.25">
      <c r="A6" s="44">
        <v>2</v>
      </c>
      <c r="B6" s="436" t="s">
        <v>402</v>
      </c>
      <c r="C6" s="437">
        <v>45736</v>
      </c>
      <c r="D6" s="438"/>
      <c r="E6" s="1179"/>
      <c r="F6" s="1179"/>
      <c r="G6" s="1179"/>
    </row>
    <row r="7" spans="1:11" ht="41.25" customHeight="1" x14ac:dyDescent="0.25">
      <c r="B7" s="436" t="s">
        <v>403</v>
      </c>
      <c r="C7" s="437">
        <v>45747</v>
      </c>
      <c r="D7" s="438"/>
      <c r="E7" s="501">
        <f>1.8*11.88*3*151.67*50%/91.25</f>
        <v>53.314705972602738</v>
      </c>
      <c r="F7" s="1185" t="s">
        <v>509</v>
      </c>
      <c r="G7" s="1185"/>
    </row>
    <row r="8" spans="1:11" ht="41.25" customHeight="1" x14ac:dyDescent="0.25">
      <c r="B8" s="44" t="s">
        <v>404</v>
      </c>
      <c r="C8" s="437">
        <v>45717</v>
      </c>
      <c r="D8" s="438"/>
      <c r="E8" s="438"/>
      <c r="F8" s="438"/>
      <c r="G8" s="104"/>
    </row>
    <row r="9" spans="1:11" ht="41.25" customHeight="1" x14ac:dyDescent="0.25">
      <c r="B9" s="44" t="s">
        <v>405</v>
      </c>
      <c r="C9" s="437">
        <v>45747</v>
      </c>
      <c r="D9" s="438"/>
      <c r="E9" s="438"/>
      <c r="F9" s="438"/>
      <c r="G9" s="104"/>
    </row>
    <row r="10" spans="1:11" ht="41.25" customHeight="1" x14ac:dyDescent="0.25">
      <c r="B10" s="44" t="s">
        <v>406</v>
      </c>
      <c r="C10" s="439"/>
      <c r="D10" s="438"/>
      <c r="E10" s="438"/>
      <c r="F10" s="438"/>
      <c r="G10" s="104"/>
    </row>
    <row r="11" spans="1:11" ht="39.75" customHeight="1" x14ac:dyDescent="0.25">
      <c r="B11" s="436" t="s">
        <v>407</v>
      </c>
      <c r="C11" s="44">
        <f>C7-C6+1</f>
        <v>12</v>
      </c>
      <c r="D11" s="104"/>
      <c r="E11" s="104"/>
      <c r="F11" s="104"/>
      <c r="G11" s="104"/>
    </row>
    <row r="12" spans="1:11" ht="39.75" customHeight="1" x14ac:dyDescent="0.25">
      <c r="B12" s="436" t="s">
        <v>408</v>
      </c>
      <c r="C12" s="44">
        <v>3</v>
      </c>
      <c r="D12" s="104"/>
      <c r="E12" s="104"/>
      <c r="F12" s="104"/>
      <c r="G12" s="104"/>
    </row>
    <row r="13" spans="1:11" ht="39.75" customHeight="1" x14ac:dyDescent="0.25">
      <c r="B13" s="436" t="s">
        <v>409</v>
      </c>
      <c r="C13" s="44">
        <f>C11-C12</f>
        <v>9</v>
      </c>
      <c r="D13" s="776"/>
      <c r="E13" s="864"/>
      <c r="F13" s="864"/>
      <c r="G13" s="104"/>
    </row>
    <row r="14" spans="1:11" ht="39.75" customHeight="1" x14ac:dyDescent="0.25">
      <c r="B14" s="436" t="s">
        <v>410</v>
      </c>
      <c r="C14" s="44">
        <f ca="1">SUMPRODUCT((WEEKDAY(ROW(INDIRECT(C$6&amp;":"&amp;C$7)))=7)*1)</f>
        <v>2</v>
      </c>
      <c r="D14" s="104"/>
      <c r="E14" s="104"/>
      <c r="F14" s="104"/>
      <c r="G14" s="104"/>
    </row>
    <row r="15" spans="1:11" ht="39.75" customHeight="1" x14ac:dyDescent="0.25">
      <c r="B15" s="436" t="s">
        <v>411</v>
      </c>
      <c r="C15" s="44">
        <f ca="1">C11-C14</f>
        <v>10</v>
      </c>
      <c r="D15" s="104"/>
      <c r="E15" s="104"/>
      <c r="F15" s="104"/>
      <c r="G15" s="104"/>
    </row>
    <row r="16" spans="1:11" ht="39.75" customHeight="1" x14ac:dyDescent="0.25">
      <c r="B16" s="436" t="s">
        <v>412</v>
      </c>
      <c r="C16" s="44">
        <f>NETWORKDAYS(C6,C7)</f>
        <v>8</v>
      </c>
      <c r="D16" s="104"/>
      <c r="E16" s="104"/>
      <c r="F16" s="104"/>
      <c r="G16" s="104"/>
    </row>
    <row r="17" spans="1:10" ht="39.75" customHeight="1" x14ac:dyDescent="0.25">
      <c r="B17" s="557"/>
      <c r="C17" s="104"/>
      <c r="D17" s="104"/>
      <c r="E17" s="104"/>
      <c r="F17" s="104"/>
      <c r="G17" s="104"/>
    </row>
    <row r="18" spans="1:10" ht="39.75" customHeight="1" x14ac:dyDescent="0.25">
      <c r="B18" s="557"/>
      <c r="C18" s="104"/>
      <c r="D18" s="104"/>
      <c r="E18" s="104"/>
      <c r="F18" s="104"/>
      <c r="G18" s="104"/>
    </row>
    <row r="19" spans="1:10" ht="39.75" customHeight="1" x14ac:dyDescent="0.25">
      <c r="B19" s="557"/>
      <c r="C19" s="104"/>
      <c r="D19" s="104"/>
      <c r="E19" s="104"/>
      <c r="F19" s="104"/>
      <c r="G19" s="104"/>
    </row>
    <row r="20" spans="1:10" ht="23.25" customHeight="1" x14ac:dyDescent="0.25">
      <c r="B20" s="104"/>
      <c r="C20" s="104"/>
      <c r="D20" s="440"/>
      <c r="E20" s="440"/>
      <c r="F20" s="440"/>
      <c r="G20" s="440"/>
    </row>
    <row r="21" spans="1:10" ht="23.25" customHeight="1" x14ac:dyDescent="0.25">
      <c r="B21" s="44" t="s">
        <v>413</v>
      </c>
      <c r="C21" s="502">
        <v>11.88</v>
      </c>
      <c r="D21" s="1179" t="s">
        <v>510</v>
      </c>
      <c r="E21" s="1179"/>
      <c r="F21" s="104"/>
      <c r="G21" s="104"/>
    </row>
    <row r="22" spans="1:10" ht="23.25" customHeight="1" x14ac:dyDescent="0.25">
      <c r="B22" s="462" t="s">
        <v>414</v>
      </c>
      <c r="C22" s="503">
        <v>11.88</v>
      </c>
      <c r="D22" s="1186" t="s">
        <v>511</v>
      </c>
      <c r="E22" s="1187"/>
      <c r="F22" s="441"/>
      <c r="G22" s="441"/>
    </row>
    <row r="23" spans="1:10" x14ac:dyDescent="0.25">
      <c r="B23" s="44" t="s">
        <v>216</v>
      </c>
      <c r="C23" s="55" t="s">
        <v>252</v>
      </c>
      <c r="D23" s="55" t="s">
        <v>253</v>
      </c>
      <c r="E23" s="55" t="s">
        <v>254</v>
      </c>
      <c r="F23" s="55" t="s">
        <v>255</v>
      </c>
      <c r="G23" s="55" t="s">
        <v>512</v>
      </c>
      <c r="J23" s="504"/>
    </row>
    <row r="24" spans="1:10" ht="38.25" customHeight="1" x14ac:dyDescent="0.25">
      <c r="B24" s="1188" t="s">
        <v>513</v>
      </c>
      <c r="C24" s="1188"/>
      <c r="D24" s="1188"/>
      <c r="E24" s="1188"/>
      <c r="F24" s="1188"/>
      <c r="G24" s="1188"/>
      <c r="J24" s="504"/>
    </row>
    <row r="25" spans="1:10" ht="31.15" customHeight="1" x14ac:dyDescent="0.25">
      <c r="A25" s="44">
        <v>10</v>
      </c>
      <c r="B25" s="442" t="s">
        <v>415</v>
      </c>
      <c r="C25" s="443" t="s">
        <v>416</v>
      </c>
      <c r="D25" s="443" t="s">
        <v>417</v>
      </c>
      <c r="E25" s="443" t="s">
        <v>418</v>
      </c>
      <c r="F25" s="443" t="s">
        <v>419</v>
      </c>
      <c r="G25" s="443" t="s">
        <v>420</v>
      </c>
    </row>
    <row r="26" spans="1:10" ht="48.6" customHeight="1" x14ac:dyDescent="0.25">
      <c r="A26" s="44">
        <v>11</v>
      </c>
      <c r="B26" s="444" t="s">
        <v>421</v>
      </c>
      <c r="C26" s="1180" t="s">
        <v>422</v>
      </c>
      <c r="D26" s="1181"/>
      <c r="E26" s="445" t="s">
        <v>423</v>
      </c>
      <c r="F26" s="505" t="s">
        <v>514</v>
      </c>
      <c r="G26" s="445" t="s">
        <v>424</v>
      </c>
    </row>
    <row r="27" spans="1:10" ht="38.25" customHeight="1" x14ac:dyDescent="0.25">
      <c r="A27" s="44">
        <v>12</v>
      </c>
      <c r="B27" s="506" t="s">
        <v>425</v>
      </c>
      <c r="C27" s="446" t="s">
        <v>515</v>
      </c>
      <c r="D27" s="507" t="s">
        <v>516</v>
      </c>
      <c r="E27" s="447">
        <v>2800</v>
      </c>
      <c r="F27" s="508">
        <f>IF(C7&lt;C5,(IF(B27="202N",1.8*C21*151.67,1.8*C22*151.67)),(IF(B27="202N",1.4*C21*151.67,1.4*C21*151.67)))</f>
        <v>3243.3112799999999</v>
      </c>
      <c r="G27" s="449">
        <f>MIN(F27,E27)</f>
        <v>2800</v>
      </c>
    </row>
    <row r="28" spans="1:10" ht="38.25" customHeight="1" x14ac:dyDescent="0.25">
      <c r="A28" s="44">
        <v>13</v>
      </c>
      <c r="B28" s="506" t="s">
        <v>454</v>
      </c>
      <c r="C28" s="446" t="s">
        <v>517</v>
      </c>
      <c r="D28" s="507" t="s">
        <v>102</v>
      </c>
      <c r="E28" s="447">
        <v>2500</v>
      </c>
      <c r="F28" s="448">
        <f>F27</f>
        <v>3243.3112799999999</v>
      </c>
      <c r="G28" s="449">
        <f>MIN(F28,E28)</f>
        <v>2500</v>
      </c>
    </row>
    <row r="29" spans="1:10" ht="38.25" customHeight="1" x14ac:dyDescent="0.25">
      <c r="A29" s="44">
        <v>14</v>
      </c>
      <c r="B29" s="506" t="s">
        <v>454</v>
      </c>
      <c r="C29" s="446" t="s">
        <v>426</v>
      </c>
      <c r="D29" s="507" t="s">
        <v>124</v>
      </c>
      <c r="E29" s="447">
        <v>3300</v>
      </c>
      <c r="F29" s="448">
        <f>F28</f>
        <v>3243.3112799999999</v>
      </c>
      <c r="G29" s="449">
        <f>MIN(F29,E29)</f>
        <v>3243.3112799999999</v>
      </c>
    </row>
    <row r="30" spans="1:10" ht="38.25" customHeight="1" x14ac:dyDescent="0.25">
      <c r="B30" s="450"/>
      <c r="C30" s="450"/>
      <c r="D30" s="451"/>
      <c r="E30" s="451"/>
      <c r="F30" s="452" t="s">
        <v>89</v>
      </c>
      <c r="G30" s="447">
        <f>SUM(G27:G29)</f>
        <v>8543.3112799999999</v>
      </c>
    </row>
    <row r="31" spans="1:10" ht="38.25" customHeight="1" x14ac:dyDescent="0.25">
      <c r="B31" s="450"/>
      <c r="C31" s="450"/>
      <c r="D31" s="441"/>
      <c r="E31" s="441"/>
      <c r="F31" s="446" t="s">
        <v>427</v>
      </c>
      <c r="G31" s="447">
        <f>ROUND(G30*0.5/91.25,6)</f>
        <v>46.812665000000003</v>
      </c>
    </row>
    <row r="32" spans="1:10" ht="38.25" customHeight="1" x14ac:dyDescent="0.25">
      <c r="B32" s="450"/>
      <c r="C32" s="450"/>
      <c r="D32" s="441"/>
      <c r="E32" s="441"/>
      <c r="F32" s="453" t="s">
        <v>428</v>
      </c>
      <c r="G32" s="454">
        <f>C13</f>
        <v>9</v>
      </c>
    </row>
    <row r="33" spans="2:9" ht="38.25" customHeight="1" x14ac:dyDescent="0.25">
      <c r="B33" s="450"/>
      <c r="C33" s="450"/>
      <c r="D33" s="441"/>
      <c r="E33" s="441"/>
      <c r="F33" s="446" t="s">
        <v>429</v>
      </c>
      <c r="G33" s="447">
        <f>ROUND(G31*G32,2)</f>
        <v>421.31</v>
      </c>
    </row>
    <row r="34" spans="2:9" ht="38.25" customHeight="1" x14ac:dyDescent="0.25">
      <c r="B34" s="450"/>
      <c r="C34" s="450"/>
      <c r="D34" s="441"/>
      <c r="E34" s="441"/>
      <c r="F34" s="446" t="s">
        <v>430</v>
      </c>
      <c r="G34" s="447">
        <f>ROUND(G33*0.933,2)</f>
        <v>393.08</v>
      </c>
    </row>
    <row r="35" spans="2:9" ht="38.25" customHeight="1" x14ac:dyDescent="0.25">
      <c r="B35" s="450"/>
      <c r="C35" s="450"/>
      <c r="D35" s="441"/>
      <c r="E35" s="441"/>
      <c r="F35" s="509" t="s">
        <v>431</v>
      </c>
      <c r="G35" s="447">
        <f>G33*2.9%</f>
        <v>12.217989999999999</v>
      </c>
      <c r="H35" s="776" t="s">
        <v>432</v>
      </c>
      <c r="I35" s="864"/>
    </row>
    <row r="36" spans="2:9" ht="38.25" customHeight="1" x14ac:dyDescent="0.25">
      <c r="F36" s="509" t="s">
        <v>433</v>
      </c>
      <c r="G36" s="447">
        <f>G33*3.8%</f>
        <v>16.009779999999999</v>
      </c>
      <c r="H36" s="776"/>
      <c r="I36" s="864"/>
    </row>
    <row r="37" spans="2:9" ht="105" customHeight="1" x14ac:dyDescent="0.25"/>
    <row r="38" spans="2:9" ht="33.75" customHeight="1" x14ac:dyDescent="0.25">
      <c r="B38" s="1182" t="s">
        <v>434</v>
      </c>
      <c r="C38" s="1183"/>
      <c r="D38" s="1183"/>
      <c r="E38" s="1183"/>
      <c r="F38" s="1183"/>
      <c r="G38" s="1184"/>
    </row>
    <row r="39" spans="2:9" ht="33" customHeight="1" x14ac:dyDescent="0.25">
      <c r="B39" s="510" t="s">
        <v>402</v>
      </c>
      <c r="C39" s="511">
        <f>C6</f>
        <v>45736</v>
      </c>
      <c r="D39" s="456"/>
      <c r="E39" s="456"/>
      <c r="F39" s="456"/>
      <c r="G39" s="50"/>
    </row>
    <row r="40" spans="2:9" ht="33" customHeight="1" x14ac:dyDescent="0.25">
      <c r="B40" s="138" t="s">
        <v>403</v>
      </c>
      <c r="C40" s="455">
        <f>C7</f>
        <v>45747</v>
      </c>
      <c r="D40" s="456"/>
      <c r="E40" s="456"/>
      <c r="F40" s="456"/>
      <c r="G40" s="7"/>
    </row>
    <row r="41" spans="2:9" ht="33" customHeight="1" x14ac:dyDescent="0.25">
      <c r="B41" s="138" t="s">
        <v>404</v>
      </c>
      <c r="C41" s="455">
        <f>C8</f>
        <v>45717</v>
      </c>
      <c r="D41" s="438"/>
      <c r="E41" s="438"/>
      <c r="F41" s="438"/>
      <c r="G41" s="104"/>
    </row>
    <row r="42" spans="2:9" ht="33" customHeight="1" x14ac:dyDescent="0.25">
      <c r="B42" s="138" t="s">
        <v>405</v>
      </c>
      <c r="C42" s="455">
        <f>C9</f>
        <v>45747</v>
      </c>
      <c r="D42" s="438"/>
      <c r="E42" s="438"/>
      <c r="F42" s="438"/>
      <c r="G42" s="104"/>
    </row>
    <row r="43" spans="2:9" ht="33" customHeight="1" x14ac:dyDescent="0.25">
      <c r="B43" s="138" t="s">
        <v>435</v>
      </c>
      <c r="C43" s="457">
        <f>C10</f>
        <v>0</v>
      </c>
      <c r="D43" s="104"/>
      <c r="E43" s="104"/>
      <c r="F43" s="104"/>
      <c r="G43" s="104"/>
    </row>
    <row r="44" spans="2:9" ht="33.75" customHeight="1" x14ac:dyDescent="0.25">
      <c r="B44" s="458" t="s">
        <v>407</v>
      </c>
      <c r="C44" s="458">
        <f>C40-C39+1</f>
        <v>12</v>
      </c>
      <c r="D44" s="104"/>
      <c r="E44" s="104"/>
      <c r="F44" s="104"/>
      <c r="G44" s="104"/>
    </row>
    <row r="45" spans="2:9" ht="33.75" customHeight="1" x14ac:dyDescent="0.25">
      <c r="B45" s="459" t="s">
        <v>436</v>
      </c>
      <c r="C45" s="459">
        <f ca="1">SUMPRODUCT((WEEKDAY(ROW(INDIRECT(C$39&amp;":"&amp;C$40)))=7)*1)</f>
        <v>2</v>
      </c>
      <c r="D45" s="104"/>
      <c r="E45" s="104"/>
      <c r="F45" s="104"/>
      <c r="G45" s="104"/>
    </row>
    <row r="46" spans="2:9" ht="33.75" customHeight="1" x14ac:dyDescent="0.25">
      <c r="B46" s="458" t="s">
        <v>437</v>
      </c>
      <c r="C46" s="458">
        <f>NETWORKDAYS(C39,C40)</f>
        <v>8</v>
      </c>
      <c r="D46" s="104"/>
      <c r="E46" s="104"/>
      <c r="F46" s="104"/>
      <c r="G46" s="104"/>
    </row>
    <row r="47" spans="2:9" ht="57" customHeight="1" x14ac:dyDescent="0.25">
      <c r="B47" s="458" t="s">
        <v>438</v>
      </c>
      <c r="C47" s="458">
        <f ca="1">C44-C45</f>
        <v>10</v>
      </c>
      <c r="D47" s="104"/>
      <c r="E47" s="104"/>
      <c r="F47" s="104"/>
      <c r="G47" s="104"/>
    </row>
    <row r="48" spans="2:9" ht="50.45" customHeight="1" x14ac:dyDescent="0.25">
      <c r="B48" s="460" t="s">
        <v>439</v>
      </c>
      <c r="C48" s="460"/>
      <c r="D48" s="50"/>
      <c r="E48" s="50"/>
      <c r="F48" s="50"/>
      <c r="G48" s="50"/>
    </row>
    <row r="49" spans="2:7" ht="48" customHeight="1" x14ac:dyDescent="0.25">
      <c r="B49" s="460" t="s">
        <v>440</v>
      </c>
      <c r="C49" s="460"/>
      <c r="D49" s="50"/>
      <c r="E49" s="50"/>
      <c r="F49" s="50"/>
      <c r="G49" s="50"/>
    </row>
    <row r="50" spans="2:7" ht="45.6" customHeight="1" x14ac:dyDescent="0.25">
      <c r="B50" s="461" t="s">
        <v>441</v>
      </c>
      <c r="C50" s="458">
        <v>147</v>
      </c>
      <c r="D50" s="104"/>
      <c r="E50" s="104"/>
      <c r="F50" s="104"/>
      <c r="G50" s="104"/>
    </row>
    <row r="51" spans="2:7" ht="44.45" customHeight="1" x14ac:dyDescent="0.25">
      <c r="B51" s="459" t="s">
        <v>442</v>
      </c>
      <c r="C51" s="459">
        <f>NETWORKDAYS(C41,C42)</f>
        <v>21</v>
      </c>
      <c r="D51" s="104"/>
      <c r="E51" s="104"/>
      <c r="F51" s="104"/>
      <c r="G51" s="104"/>
    </row>
    <row r="52" spans="2:7" ht="38.25" customHeight="1" x14ac:dyDescent="0.25">
      <c r="B52" s="458" t="s">
        <v>443</v>
      </c>
      <c r="C52" s="458">
        <f>ROUND(C43*C46/C51,2)</f>
        <v>0</v>
      </c>
      <c r="D52" s="104"/>
      <c r="E52" s="104"/>
      <c r="F52" s="104"/>
      <c r="G52" s="104"/>
    </row>
    <row r="53" spans="2:7" ht="28.5" customHeight="1" x14ac:dyDescent="0.25">
      <c r="B53" s="458" t="s">
        <v>444</v>
      </c>
      <c r="C53" s="458">
        <f>ROUND(C43*C46/22,2)</f>
        <v>0</v>
      </c>
      <c r="D53" s="104"/>
      <c r="E53" s="104"/>
      <c r="F53" s="104"/>
      <c r="G53" s="104"/>
    </row>
    <row r="54" spans="2:7" ht="41.25" customHeight="1" x14ac:dyDescent="0.25">
      <c r="B54" s="458" t="s">
        <v>445</v>
      </c>
      <c r="C54" s="458">
        <f>ROUND(C43*C46/21.67,2)</f>
        <v>0</v>
      </c>
      <c r="D54" s="104"/>
      <c r="E54" s="104"/>
      <c r="F54" s="104"/>
      <c r="G54" s="104"/>
    </row>
    <row r="55" spans="2:7" ht="36" customHeight="1" x14ac:dyDescent="0.25">
      <c r="B55" s="459" t="s">
        <v>446</v>
      </c>
      <c r="C55" s="459">
        <f>C42-C41+1</f>
        <v>31</v>
      </c>
      <c r="D55" s="104"/>
      <c r="E55" s="104"/>
      <c r="F55" s="104"/>
      <c r="G55" s="104"/>
    </row>
    <row r="56" spans="2:7" ht="39" customHeight="1" x14ac:dyDescent="0.25">
      <c r="B56" s="458" t="s">
        <v>447</v>
      </c>
      <c r="C56" s="458">
        <f>ROUND(C43*C44/C55,2)</f>
        <v>0</v>
      </c>
      <c r="D56" s="104"/>
      <c r="E56" s="104"/>
      <c r="F56" s="104"/>
      <c r="G56" s="104"/>
    </row>
    <row r="57" spans="2:7" ht="42.6" customHeight="1" x14ac:dyDescent="0.25">
      <c r="B57" s="458" t="s">
        <v>448</v>
      </c>
      <c r="C57" s="458">
        <f>ROUND(C43*C44/30,2)</f>
        <v>0</v>
      </c>
      <c r="D57" s="104"/>
      <c r="E57" s="104"/>
      <c r="F57" s="104"/>
      <c r="G57" s="104"/>
    </row>
    <row r="58" spans="2:7" ht="36" customHeight="1" x14ac:dyDescent="0.25">
      <c r="B58" s="459" t="s">
        <v>449</v>
      </c>
      <c r="C58" s="459">
        <f ca="1">SUMPRODUCT((WEEKDAY(ROW(INDIRECT($C41&amp;":"&amp;$C42)))=7)*1)</f>
        <v>5</v>
      </c>
      <c r="D58" s="104"/>
      <c r="E58" s="104"/>
      <c r="F58" s="104"/>
      <c r="G58" s="104"/>
    </row>
    <row r="59" spans="2:7" ht="36" customHeight="1" x14ac:dyDescent="0.25">
      <c r="B59" s="459" t="s">
        <v>450</v>
      </c>
      <c r="C59" s="459">
        <f ca="1">C55-C58</f>
        <v>26</v>
      </c>
      <c r="D59" s="104"/>
      <c r="E59" s="104"/>
      <c r="F59" s="104"/>
      <c r="G59" s="104"/>
    </row>
    <row r="60" spans="2:7" ht="39.75" customHeight="1" x14ac:dyDescent="0.25">
      <c r="B60" s="458" t="s">
        <v>451</v>
      </c>
      <c r="C60" s="458">
        <f ca="1">ROUND(C43*C47/C59,2)</f>
        <v>0</v>
      </c>
      <c r="D60" s="104"/>
      <c r="E60" s="104"/>
      <c r="F60" s="104"/>
      <c r="G60" s="104"/>
    </row>
    <row r="61" spans="2:7" ht="39.75" customHeight="1" x14ac:dyDescent="0.25">
      <c r="B61" s="458" t="s">
        <v>452</v>
      </c>
      <c r="C61" s="458">
        <f ca="1">ROUND(C43*C47/26,2)</f>
        <v>0</v>
      </c>
      <c r="D61" s="104"/>
      <c r="E61" s="104"/>
      <c r="F61" s="104"/>
      <c r="G61" s="104"/>
    </row>
  </sheetData>
  <mergeCells count="15">
    <mergeCell ref="C26:D26"/>
    <mergeCell ref="H35:I36"/>
    <mergeCell ref="B38:G38"/>
    <mergeCell ref="F7:G7"/>
    <mergeCell ref="D13:F13"/>
    <mergeCell ref="D21:E21"/>
    <mergeCell ref="D22:E22"/>
    <mergeCell ref="B24:G24"/>
    <mergeCell ref="B1:G1"/>
    <mergeCell ref="B2:G2"/>
    <mergeCell ref="D3:G3"/>
    <mergeCell ref="B4:C4"/>
    <mergeCell ref="E5:E6"/>
    <mergeCell ref="F5:G6"/>
    <mergeCell ref="B3:C3"/>
  </mergeCells>
  <phoneticPr fontId="75" type="noConversion"/>
  <pageMargins left="0.70866141732283472" right="0.70866141732283472" top="0" bottom="0" header="0.31496062992125984" footer="0.31496062992125984"/>
  <pageSetup paperSize="9" scale="80" orientation="landscape"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5" x14ac:dyDescent="0.25"/>
  <cols>
    <col min="1" max="1" width="7" style="104"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1189" t="s">
        <v>747</v>
      </c>
      <c r="C1" s="1189"/>
      <c r="D1" s="1189"/>
      <c r="E1" s="1189"/>
      <c r="F1" s="1189"/>
      <c r="G1" s="1189"/>
    </row>
    <row r="2" spans="2:7" ht="26.45" customHeight="1" x14ac:dyDescent="0.25">
      <c r="B2" s="1175" t="s">
        <v>748</v>
      </c>
      <c r="C2" s="1175"/>
      <c r="D2" s="1175"/>
      <c r="E2" s="1175"/>
      <c r="F2" s="1175"/>
      <c r="G2" s="1175"/>
    </row>
    <row r="3" spans="2:7" ht="23.25" customHeight="1" x14ac:dyDescent="0.25">
      <c r="B3" s="1179" t="s">
        <v>506</v>
      </c>
      <c r="C3" s="1179"/>
      <c r="D3" s="1176" t="s">
        <v>507</v>
      </c>
      <c r="E3" s="1176"/>
      <c r="F3" s="1176"/>
      <c r="G3" s="1176"/>
    </row>
    <row r="4" spans="2:7" ht="26.45" customHeight="1" x14ac:dyDescent="0.25">
      <c r="B4" s="1177" t="s">
        <v>401</v>
      </c>
      <c r="C4" s="1178"/>
      <c r="D4" s="104"/>
      <c r="F4" s="104"/>
      <c r="G4" s="104"/>
    </row>
    <row r="5" spans="2:7" ht="28.15" customHeight="1" x14ac:dyDescent="0.25">
      <c r="B5" s="436" t="s">
        <v>749</v>
      </c>
      <c r="C5" s="437">
        <v>45748</v>
      </c>
      <c r="E5" s="777">
        <f>ROUND(1.4*11.88*151.67*3*50%/91.25,2)</f>
        <v>41.47</v>
      </c>
      <c r="F5" s="1179" t="s">
        <v>508</v>
      </c>
      <c r="G5" s="1179"/>
    </row>
    <row r="6" spans="2:7" ht="41.25" customHeight="1" x14ac:dyDescent="0.25">
      <c r="B6" s="436" t="s">
        <v>402</v>
      </c>
      <c r="C6" s="437">
        <v>45757</v>
      </c>
      <c r="D6" s="438"/>
      <c r="E6" s="777"/>
      <c r="F6" s="1179"/>
      <c r="G6" s="1179"/>
    </row>
    <row r="7" spans="2:7" ht="41.25" customHeight="1" x14ac:dyDescent="0.25">
      <c r="B7" s="436" t="s">
        <v>403</v>
      </c>
      <c r="C7" s="437">
        <v>45802</v>
      </c>
      <c r="D7" s="438"/>
      <c r="E7" s="438"/>
      <c r="F7" s="438"/>
      <c r="G7" s="438"/>
    </row>
    <row r="8" spans="2:7" ht="41.25" customHeight="1" x14ac:dyDescent="0.25">
      <c r="B8" s="44" t="s">
        <v>404</v>
      </c>
      <c r="C8" s="437">
        <v>45748</v>
      </c>
      <c r="D8" s="438"/>
      <c r="E8" s="438"/>
      <c r="F8" s="438"/>
      <c r="G8" s="104"/>
    </row>
    <row r="9" spans="2:7" ht="41.25" customHeight="1" x14ac:dyDescent="0.25">
      <c r="B9" s="44" t="s">
        <v>405</v>
      </c>
      <c r="C9" s="437" t="s">
        <v>750</v>
      </c>
      <c r="D9" s="438"/>
      <c r="E9" s="438"/>
      <c r="F9" s="438"/>
      <c r="G9" s="104"/>
    </row>
    <row r="10" spans="2:7" ht="41.25" customHeight="1" x14ac:dyDescent="0.25">
      <c r="B10" s="44" t="s">
        <v>406</v>
      </c>
      <c r="C10" s="439"/>
      <c r="D10" s="438"/>
      <c r="E10" s="438"/>
      <c r="F10" s="438"/>
      <c r="G10" s="104"/>
    </row>
    <row r="11" spans="2:7" ht="39.75" customHeight="1" x14ac:dyDescent="0.25">
      <c r="B11" s="436" t="s">
        <v>407</v>
      </c>
      <c r="C11" s="44">
        <f>C7-C6+1</f>
        <v>46</v>
      </c>
      <c r="D11" s="104"/>
      <c r="E11" s="104"/>
      <c r="F11" s="104"/>
      <c r="G11" s="104"/>
    </row>
    <row r="12" spans="2:7" ht="39.75" customHeight="1" x14ac:dyDescent="0.25">
      <c r="B12" s="436" t="s">
        <v>408</v>
      </c>
      <c r="C12" s="44">
        <v>3</v>
      </c>
      <c r="D12" s="104"/>
      <c r="E12" s="104"/>
      <c r="F12" s="104"/>
      <c r="G12" s="104"/>
    </row>
    <row r="13" spans="2:7" ht="39.75" customHeight="1" x14ac:dyDescent="0.25">
      <c r="B13" s="436" t="s">
        <v>409</v>
      </c>
      <c r="C13" s="44">
        <f>C11-C12</f>
        <v>43</v>
      </c>
      <c r="D13" s="776"/>
      <c r="E13" s="864"/>
      <c r="F13" s="864"/>
      <c r="G13" s="104"/>
    </row>
    <row r="14" spans="2:7" ht="39.75" customHeight="1" x14ac:dyDescent="0.25">
      <c r="B14" s="436" t="s">
        <v>410</v>
      </c>
      <c r="C14" s="44">
        <f ca="1">SUMPRODUCT((WEEKDAY(ROW(INDIRECT(C$6&amp;":"&amp;C$7)))=7)*1)</f>
        <v>7</v>
      </c>
      <c r="D14" s="104"/>
      <c r="E14" s="104"/>
      <c r="F14" s="104"/>
      <c r="G14" s="104"/>
    </row>
    <row r="15" spans="2:7" ht="39.75" customHeight="1" x14ac:dyDescent="0.25">
      <c r="B15" s="436" t="s">
        <v>411</v>
      </c>
      <c r="C15" s="44">
        <f ca="1">C11-C14</f>
        <v>39</v>
      </c>
      <c r="D15" s="104"/>
      <c r="E15" s="104"/>
      <c r="F15" s="104"/>
      <c r="G15" s="104"/>
    </row>
    <row r="16" spans="2:7" ht="39.75" customHeight="1" x14ac:dyDescent="0.25">
      <c r="B16" s="436" t="s">
        <v>412</v>
      </c>
      <c r="C16" s="44">
        <f>NETWORKDAYS(C6,C7)</f>
        <v>32</v>
      </c>
      <c r="D16" s="104"/>
      <c r="E16" s="104"/>
      <c r="F16" s="104"/>
      <c r="G16" s="104"/>
    </row>
    <row r="17" spans="2:10" ht="39.75" customHeight="1" x14ac:dyDescent="0.25">
      <c r="B17" s="557"/>
      <c r="C17" s="104"/>
      <c r="D17" s="104"/>
      <c r="E17" s="104"/>
      <c r="F17" s="104"/>
      <c r="G17" s="104"/>
    </row>
    <row r="18" spans="2:10" ht="39.75" customHeight="1" x14ac:dyDescent="0.25">
      <c r="B18" s="557"/>
      <c r="C18" s="104"/>
      <c r="D18" s="104"/>
      <c r="E18" s="104"/>
      <c r="F18" s="104"/>
      <c r="G18" s="104"/>
    </row>
    <row r="19" spans="2:10" ht="39.75" customHeight="1" x14ac:dyDescent="0.25">
      <c r="B19" s="557"/>
      <c r="C19" s="104"/>
      <c r="D19" s="104"/>
      <c r="E19" s="104"/>
      <c r="F19" s="104"/>
      <c r="G19" s="104"/>
    </row>
    <row r="20" spans="2:10" ht="39.75" customHeight="1" x14ac:dyDescent="0.25">
      <c r="B20" s="557"/>
      <c r="C20" s="104"/>
      <c r="D20" s="104"/>
      <c r="E20" s="104"/>
      <c r="F20" s="104"/>
      <c r="G20" s="104"/>
    </row>
    <row r="21" spans="2:10" ht="23.25" customHeight="1" x14ac:dyDescent="0.25">
      <c r="B21" s="44" t="s">
        <v>413</v>
      </c>
      <c r="C21" s="595">
        <v>11.88</v>
      </c>
      <c r="D21" s="1179" t="s">
        <v>510</v>
      </c>
      <c r="E21" s="1179"/>
      <c r="F21" s="104"/>
      <c r="G21" s="104"/>
    </row>
    <row r="22" spans="2:10" ht="23.25" customHeight="1" x14ac:dyDescent="0.25">
      <c r="B22" s="44" t="s">
        <v>414</v>
      </c>
      <c r="C22" s="521">
        <v>11.88</v>
      </c>
      <c r="D22" s="1190" t="s">
        <v>511</v>
      </c>
      <c r="E22" s="1191"/>
      <c r="F22" s="441"/>
      <c r="G22" s="441"/>
    </row>
    <row r="23" spans="2:10" x14ac:dyDescent="0.25">
      <c r="J23" s="504"/>
    </row>
    <row r="24" spans="2:10" ht="38.25" customHeight="1" x14ac:dyDescent="0.25">
      <c r="B24" s="1192" t="s">
        <v>751</v>
      </c>
      <c r="C24" s="1192"/>
      <c r="D24" s="1192"/>
      <c r="E24" s="1192"/>
      <c r="F24" s="1192"/>
      <c r="G24" s="1192"/>
      <c r="J24" s="504"/>
    </row>
    <row r="25" spans="2:10" x14ac:dyDescent="0.25">
      <c r="B25" s="442" t="s">
        <v>415</v>
      </c>
      <c r="C25" s="443" t="s">
        <v>416</v>
      </c>
      <c r="D25" s="443" t="s">
        <v>417</v>
      </c>
      <c r="E25" s="443" t="s">
        <v>418</v>
      </c>
      <c r="F25" s="443" t="s">
        <v>419</v>
      </c>
      <c r="G25" s="443" t="s">
        <v>420</v>
      </c>
    </row>
    <row r="26" spans="2:10" ht="48.6" customHeight="1" x14ac:dyDescent="0.25">
      <c r="B26" s="444" t="s">
        <v>421</v>
      </c>
      <c r="C26" s="1180" t="s">
        <v>422</v>
      </c>
      <c r="D26" s="1181"/>
      <c r="E26" s="445" t="s">
        <v>423</v>
      </c>
      <c r="F26" s="505" t="s">
        <v>514</v>
      </c>
      <c r="G26" s="445" t="s">
        <v>424</v>
      </c>
    </row>
    <row r="27" spans="2:10" ht="38.25" customHeight="1" x14ac:dyDescent="0.25">
      <c r="B27" s="549" t="s">
        <v>454</v>
      </c>
      <c r="C27" s="446" t="s">
        <v>752</v>
      </c>
      <c r="D27" s="550" t="s">
        <v>102</v>
      </c>
      <c r="E27" s="447">
        <v>2600</v>
      </c>
      <c r="F27" s="508">
        <f>IF(C7&lt;C5,(IF(B27="202N",1.8*C21*151.67,1.8*C22*151.67)),(IF(B27="202N",1.4*C21*151.67,1.4*C21*151.67)))</f>
        <v>2522.5754400000001</v>
      </c>
      <c r="G27" s="449">
        <f>MIN(F27,E27)</f>
        <v>2522.5754400000001</v>
      </c>
    </row>
    <row r="28" spans="2:10" ht="38.25" customHeight="1" x14ac:dyDescent="0.25">
      <c r="B28" s="549" t="s">
        <v>454</v>
      </c>
      <c r="C28" s="446" t="s">
        <v>753</v>
      </c>
      <c r="D28" s="550" t="s">
        <v>124</v>
      </c>
      <c r="E28" s="447">
        <v>2200</v>
      </c>
      <c r="F28" s="448">
        <f>F27</f>
        <v>2522.5754400000001</v>
      </c>
      <c r="G28" s="449">
        <f>MIN(F28,E28)</f>
        <v>2200</v>
      </c>
    </row>
    <row r="29" spans="2:10" ht="38.25" customHeight="1" x14ac:dyDescent="0.25">
      <c r="B29" s="549" t="s">
        <v>454</v>
      </c>
      <c r="C29" s="446" t="s">
        <v>426</v>
      </c>
      <c r="D29" s="550" t="s">
        <v>754</v>
      </c>
      <c r="E29" s="447">
        <v>2200</v>
      </c>
      <c r="F29" s="448">
        <f>F28</f>
        <v>2522.5754400000001</v>
      </c>
      <c r="G29" s="449">
        <f>MIN(F29,E29)</f>
        <v>2200</v>
      </c>
    </row>
    <row r="30" spans="2:10" ht="38.25" customHeight="1" x14ac:dyDescent="0.25">
      <c r="B30" s="450"/>
      <c r="C30" s="450"/>
      <c r="D30" s="451"/>
      <c r="E30" s="451"/>
      <c r="F30" s="452" t="s">
        <v>89</v>
      </c>
      <c r="G30" s="447">
        <f>SUM(G27:G29)</f>
        <v>6922.5754400000005</v>
      </c>
    </row>
    <row r="31" spans="2:10" ht="38.25" customHeight="1" x14ac:dyDescent="0.25">
      <c r="B31" s="450"/>
      <c r="C31" s="450"/>
      <c r="D31" s="441"/>
      <c r="E31" s="441"/>
      <c r="F31" s="446" t="s">
        <v>427</v>
      </c>
      <c r="G31" s="447">
        <f>ROUND(G30*0.5/91.25,6)</f>
        <v>37.931919999999998</v>
      </c>
    </row>
    <row r="32" spans="2:10" ht="38.25" customHeight="1" x14ac:dyDescent="0.25">
      <c r="B32" s="450"/>
      <c r="C32" s="450"/>
      <c r="D32" s="441"/>
      <c r="E32" s="441"/>
      <c r="F32" s="453" t="s">
        <v>428</v>
      </c>
      <c r="G32" s="454">
        <f>C13</f>
        <v>43</v>
      </c>
    </row>
    <row r="33" spans="2:9" ht="38.25" customHeight="1" x14ac:dyDescent="0.25">
      <c r="B33" s="450"/>
      <c r="C33" s="450"/>
      <c r="D33" s="441"/>
      <c r="E33" s="441"/>
      <c r="F33" s="446" t="s">
        <v>429</v>
      </c>
      <c r="G33" s="447">
        <f>ROUND(G31*G32,2)</f>
        <v>1631.07</v>
      </c>
    </row>
    <row r="34" spans="2:9" ht="38.25" customHeight="1" x14ac:dyDescent="0.25">
      <c r="B34" s="450"/>
      <c r="C34" s="450"/>
      <c r="D34" s="441"/>
      <c r="E34" s="441"/>
      <c r="F34" s="446" t="s">
        <v>430</v>
      </c>
      <c r="G34" s="447">
        <f>ROUND(G33*0.933,2)</f>
        <v>1521.79</v>
      </c>
    </row>
    <row r="35" spans="2:9" ht="38.25" customHeight="1" x14ac:dyDescent="0.25">
      <c r="B35" s="450"/>
      <c r="C35" s="450"/>
      <c r="D35" s="441"/>
      <c r="E35" s="441"/>
      <c r="F35" s="509" t="s">
        <v>431</v>
      </c>
      <c r="G35" s="447">
        <f>G33*2.9%</f>
        <v>47.301029999999997</v>
      </c>
      <c r="H35" s="776" t="s">
        <v>432</v>
      </c>
      <c r="I35" s="864"/>
    </row>
    <row r="36" spans="2:9" ht="38.25" customHeight="1" x14ac:dyDescent="0.25">
      <c r="F36" s="509" t="s">
        <v>433</v>
      </c>
      <c r="G36" s="447">
        <f>G33*3.8%</f>
        <v>61.980659999999993</v>
      </c>
      <c r="H36" s="776"/>
      <c r="I36" s="864"/>
    </row>
    <row r="37" spans="2:9" ht="38.25" customHeight="1" x14ac:dyDescent="0.25">
      <c r="F37" s="593"/>
      <c r="G37" s="594"/>
      <c r="H37" s="104"/>
      <c r="I37" s="104"/>
    </row>
    <row r="38" spans="2:9" ht="38.25" customHeight="1" x14ac:dyDescent="0.25">
      <c r="F38" s="593"/>
      <c r="G38" s="594"/>
      <c r="H38" s="104"/>
      <c r="I38" s="104"/>
    </row>
    <row r="39" spans="2:9" ht="42.6" customHeight="1" x14ac:dyDescent="0.25"/>
    <row r="40" spans="2:9" ht="33.75" customHeight="1" x14ac:dyDescent="0.25">
      <c r="B40" s="1182" t="s">
        <v>434</v>
      </c>
      <c r="C40" s="1183"/>
      <c r="D40" s="1183"/>
      <c r="E40" s="1183"/>
      <c r="F40" s="1183"/>
      <c r="G40" s="1184"/>
    </row>
    <row r="41" spans="2:9" ht="33" customHeight="1" x14ac:dyDescent="0.25">
      <c r="B41" s="510" t="s">
        <v>402</v>
      </c>
      <c r="C41" s="511">
        <f>C6</f>
        <v>45757</v>
      </c>
      <c r="D41" s="456"/>
      <c r="E41" s="456"/>
      <c r="F41" s="456"/>
      <c r="G41" s="50"/>
    </row>
    <row r="42" spans="2:9" ht="33" customHeight="1" x14ac:dyDescent="0.25">
      <c r="B42" s="138" t="s">
        <v>403</v>
      </c>
      <c r="C42" s="455">
        <f>C7</f>
        <v>45802</v>
      </c>
      <c r="D42" s="456"/>
      <c r="E42" s="456"/>
      <c r="F42" s="456"/>
      <c r="G42" s="7"/>
    </row>
    <row r="43" spans="2:9" ht="33" customHeight="1" x14ac:dyDescent="0.25">
      <c r="B43" s="138" t="s">
        <v>404</v>
      </c>
      <c r="C43" s="455">
        <f>C8</f>
        <v>45748</v>
      </c>
      <c r="D43" s="438"/>
      <c r="E43" s="438"/>
      <c r="F43" s="438"/>
      <c r="G43" s="104"/>
    </row>
    <row r="44" spans="2:9" ht="33" customHeight="1" x14ac:dyDescent="0.25">
      <c r="B44" s="138" t="s">
        <v>405</v>
      </c>
      <c r="C44" s="455" t="str">
        <f>C9</f>
        <v>31/04/2025</v>
      </c>
      <c r="D44" s="438"/>
      <c r="E44" s="438"/>
      <c r="F44" s="438"/>
      <c r="G44" s="104"/>
    </row>
    <row r="45" spans="2:9" ht="33" customHeight="1" x14ac:dyDescent="0.25">
      <c r="B45" s="138" t="s">
        <v>435</v>
      </c>
      <c r="C45" s="457">
        <f>C10</f>
        <v>0</v>
      </c>
      <c r="D45" s="104"/>
      <c r="E45" s="104"/>
      <c r="F45" s="104"/>
      <c r="G45" s="104"/>
    </row>
    <row r="46" spans="2:9" ht="33.75" customHeight="1" x14ac:dyDescent="0.25">
      <c r="B46" s="458" t="s">
        <v>407</v>
      </c>
      <c r="C46" s="458">
        <f>C42-C41+1</f>
        <v>46</v>
      </c>
      <c r="D46" s="104"/>
      <c r="E46" s="104"/>
      <c r="F46" s="104"/>
      <c r="G46" s="104"/>
    </row>
    <row r="47" spans="2:9" ht="33.75" customHeight="1" x14ac:dyDescent="0.25">
      <c r="B47" s="459" t="s">
        <v>436</v>
      </c>
      <c r="C47" s="459">
        <f ca="1">SUMPRODUCT((WEEKDAY(ROW(INDIRECT(C$41&amp;":"&amp;C$42)))=7)*1)</f>
        <v>7</v>
      </c>
      <c r="D47" s="104"/>
      <c r="E47" s="104"/>
      <c r="F47" s="104"/>
      <c r="G47" s="104"/>
    </row>
    <row r="48" spans="2:9" ht="33.75" customHeight="1" x14ac:dyDescent="0.25">
      <c r="B48" s="458" t="s">
        <v>437</v>
      </c>
      <c r="C48" s="458">
        <f>NETWORKDAYS(C41,C42)</f>
        <v>32</v>
      </c>
      <c r="D48" s="104"/>
      <c r="E48" s="104"/>
      <c r="F48" s="104"/>
      <c r="G48" s="104"/>
    </row>
    <row r="49" spans="2:7" ht="33.75" customHeight="1" x14ac:dyDescent="0.25">
      <c r="B49" s="458" t="s">
        <v>438</v>
      </c>
      <c r="C49" s="458">
        <f ca="1">C46-C47</f>
        <v>39</v>
      </c>
      <c r="D49" s="104"/>
      <c r="E49" s="104"/>
      <c r="F49" s="104"/>
      <c r="G49" s="104"/>
    </row>
    <row r="50" spans="2:7" ht="33.75" customHeight="1" x14ac:dyDescent="0.25">
      <c r="B50" s="460" t="s">
        <v>439</v>
      </c>
      <c r="C50" s="460"/>
      <c r="D50" s="50"/>
      <c r="E50" s="50"/>
      <c r="F50" s="50"/>
      <c r="G50" s="50"/>
    </row>
    <row r="51" spans="2:7" ht="35.25" customHeight="1" x14ac:dyDescent="0.25">
      <c r="B51" s="460" t="s">
        <v>440</v>
      </c>
      <c r="C51" s="460"/>
      <c r="D51" s="50"/>
      <c r="E51" s="50"/>
      <c r="F51" s="50"/>
      <c r="G51" s="50"/>
    </row>
    <row r="52" spans="2:7" ht="38.25" customHeight="1" x14ac:dyDescent="0.25">
      <c r="B52" s="461" t="s">
        <v>441</v>
      </c>
      <c r="C52" s="458">
        <v>147</v>
      </c>
      <c r="D52" s="104"/>
      <c r="E52" s="104"/>
      <c r="F52" s="104"/>
      <c r="G52" s="104"/>
    </row>
    <row r="53" spans="2:7" ht="28.5" customHeight="1" x14ac:dyDescent="0.25">
      <c r="B53" s="459" t="s">
        <v>442</v>
      </c>
      <c r="C53" s="459" t="e">
        <f>NETWORKDAYS(C43,C44)</f>
        <v>#VALUE!</v>
      </c>
      <c r="D53" s="104"/>
      <c r="E53" s="104"/>
      <c r="F53" s="104"/>
      <c r="G53" s="104"/>
    </row>
    <row r="54" spans="2:7" ht="41.25" customHeight="1" x14ac:dyDescent="0.25">
      <c r="B54" s="458" t="s">
        <v>443</v>
      </c>
      <c r="C54" s="458" t="e">
        <f>ROUND(C45*C48/C53,2)</f>
        <v>#VALUE!</v>
      </c>
      <c r="D54" s="104"/>
      <c r="E54" s="104"/>
      <c r="F54" s="104"/>
      <c r="G54" s="104"/>
    </row>
    <row r="55" spans="2:7" ht="36" customHeight="1" x14ac:dyDescent="0.25">
      <c r="B55" s="458" t="s">
        <v>444</v>
      </c>
      <c r="C55" s="458">
        <f>ROUND(C45*C48/22,2)</f>
        <v>0</v>
      </c>
      <c r="D55" s="104"/>
      <c r="E55" s="104"/>
      <c r="F55" s="104"/>
      <c r="G55" s="104"/>
    </row>
    <row r="56" spans="2:7" ht="39" customHeight="1" x14ac:dyDescent="0.25">
      <c r="B56" s="458" t="s">
        <v>445</v>
      </c>
      <c r="C56" s="458">
        <f>ROUND(C45*C48/21.67,2)</f>
        <v>0</v>
      </c>
      <c r="D56" s="104"/>
      <c r="E56" s="104"/>
      <c r="F56" s="104"/>
      <c r="G56" s="104"/>
    </row>
    <row r="57" spans="2:7" ht="35.25" customHeight="1" x14ac:dyDescent="0.25">
      <c r="B57" s="459" t="s">
        <v>446</v>
      </c>
      <c r="C57" s="459" t="e">
        <f>C44-C43+1</f>
        <v>#VALUE!</v>
      </c>
      <c r="D57" s="104"/>
      <c r="E57" s="104"/>
      <c r="F57" s="104"/>
      <c r="G57" s="104"/>
    </row>
    <row r="58" spans="2:7" ht="36" customHeight="1" x14ac:dyDescent="0.25">
      <c r="B58" s="458" t="s">
        <v>447</v>
      </c>
      <c r="C58" s="458" t="e">
        <f>ROUND(C45*C46/C57,2)</f>
        <v>#VALUE!</v>
      </c>
      <c r="D58" s="104"/>
      <c r="E58" s="104"/>
      <c r="F58" s="104"/>
      <c r="G58" s="104"/>
    </row>
    <row r="59" spans="2:7" ht="36" customHeight="1" x14ac:dyDescent="0.25">
      <c r="B59" s="458" t="s">
        <v>448</v>
      </c>
      <c r="C59" s="458">
        <f>ROUND(C45*C46/30,2)</f>
        <v>0</v>
      </c>
      <c r="D59" s="104"/>
      <c r="E59" s="104"/>
      <c r="F59" s="104"/>
      <c r="G59" s="104"/>
    </row>
    <row r="60" spans="2:7" ht="39.75" customHeight="1" x14ac:dyDescent="0.25">
      <c r="B60" s="459" t="s">
        <v>449</v>
      </c>
      <c r="C60" s="459" t="e">
        <f ca="1">SUMPRODUCT((WEEKDAY(ROW(INDIRECT($C43&amp;":"&amp;$C44)))=7)*1)</f>
        <v>#REF!</v>
      </c>
      <c r="D60" s="104"/>
      <c r="E60" s="104"/>
      <c r="F60" s="104"/>
      <c r="G60" s="104"/>
    </row>
    <row r="61" spans="2:7" ht="39.75" customHeight="1" x14ac:dyDescent="0.25">
      <c r="B61" s="459" t="s">
        <v>450</v>
      </c>
      <c r="C61" s="459" t="e">
        <f ca="1">C57-C60</f>
        <v>#VALUE!</v>
      </c>
      <c r="D61" s="104"/>
      <c r="E61" s="104"/>
      <c r="F61" s="104"/>
      <c r="G61" s="104"/>
    </row>
    <row r="62" spans="2:7" ht="51.75" customHeight="1" x14ac:dyDescent="0.25">
      <c r="B62" s="458" t="s">
        <v>451</v>
      </c>
      <c r="C62" s="458" t="e">
        <f ca="1">ROUND(C45*C49/C61,2)</f>
        <v>#VALUE!</v>
      </c>
      <c r="D62" s="104"/>
      <c r="E62" s="104"/>
      <c r="F62" s="104"/>
      <c r="G62" s="104"/>
    </row>
    <row r="63" spans="2:7" ht="51.75" customHeight="1" x14ac:dyDescent="0.25">
      <c r="B63" s="458" t="s">
        <v>452</v>
      </c>
      <c r="C63" s="458">
        <f ca="1">ROUND(C45*C49/26,2)</f>
        <v>0</v>
      </c>
      <c r="D63" s="104"/>
      <c r="E63" s="104"/>
      <c r="F63" s="104"/>
      <c r="G63" s="104"/>
    </row>
  </sheetData>
  <mergeCells count="14">
    <mergeCell ref="B40:G40"/>
    <mergeCell ref="D13:F13"/>
    <mergeCell ref="D21:E21"/>
    <mergeCell ref="D22:E22"/>
    <mergeCell ref="B24:G24"/>
    <mergeCell ref="C26:D26"/>
    <mergeCell ref="H35:I36"/>
    <mergeCell ref="B1:G1"/>
    <mergeCell ref="B2:G2"/>
    <mergeCell ref="B3:C3"/>
    <mergeCell ref="D3:G3"/>
    <mergeCell ref="B4:C4"/>
    <mergeCell ref="E5:E6"/>
    <mergeCell ref="F5:G6"/>
  </mergeCells>
  <pageMargins left="0.7" right="0.7" top="0.75" bottom="0.75" header="0.3" footer="0.3"/>
  <pageSetup paperSize="9" orientation="portrait" horizontalDpi="4294967293" verticalDpi="0"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25"/>
  <cols>
    <col min="1" max="1" width="17" customWidth="1"/>
    <col min="2" max="3" width="12.7109375" customWidth="1"/>
    <col min="4" max="4" width="13.42578125" customWidth="1"/>
    <col min="5" max="5" width="15.85546875" customWidth="1"/>
    <col min="6" max="6" width="12.42578125" customWidth="1"/>
    <col min="7" max="7" width="12.85546875" customWidth="1"/>
    <col min="8" max="8" width="11.140625" customWidth="1"/>
    <col min="9" max="9" width="14.5703125" customWidth="1"/>
    <col min="10" max="10" width="14.140625" customWidth="1"/>
  </cols>
  <sheetData>
    <row r="1" spans="1:10" ht="32.25" customHeight="1" x14ac:dyDescent="0.25">
      <c r="A1" s="1176" t="s">
        <v>755</v>
      </c>
      <c r="B1" s="1176"/>
      <c r="C1" s="1176"/>
      <c r="D1" s="1176"/>
      <c r="E1" s="1176"/>
      <c r="F1" s="1176"/>
      <c r="G1" s="1176"/>
    </row>
    <row r="2" spans="1:10" ht="15.75" x14ac:dyDescent="0.25">
      <c r="A2" s="1194" t="s">
        <v>756</v>
      </c>
      <c r="B2" s="1194"/>
      <c r="C2" s="1194"/>
      <c r="D2" s="1194"/>
      <c r="E2" s="1194"/>
      <c r="F2" s="1194"/>
      <c r="G2" s="1194"/>
    </row>
    <row r="3" spans="1:10" ht="15.75" x14ac:dyDescent="0.25">
      <c r="A3" s="1195" t="s">
        <v>757</v>
      </c>
      <c r="B3" s="1195"/>
      <c r="C3" s="1195"/>
      <c r="D3" s="1195"/>
      <c r="E3" s="1195"/>
      <c r="F3" s="1195"/>
      <c r="G3" s="1195"/>
    </row>
    <row r="4" spans="1:10" ht="15.75" x14ac:dyDescent="0.25">
      <c r="A4" s="551" t="s">
        <v>758</v>
      </c>
      <c r="B4" s="552">
        <v>2025</v>
      </c>
      <c r="C4" s="553"/>
      <c r="D4" s="553"/>
      <c r="E4" s="553"/>
      <c r="F4" s="553"/>
      <c r="G4" s="553"/>
    </row>
    <row r="5" spans="1:10" ht="30" x14ac:dyDescent="0.25">
      <c r="A5" s="554" t="s">
        <v>759</v>
      </c>
      <c r="B5" s="555">
        <v>2025</v>
      </c>
    </row>
    <row r="6" spans="1:10" ht="32.25" customHeight="1" x14ac:dyDescent="0.25">
      <c r="A6" s="436" t="s">
        <v>760</v>
      </c>
      <c r="B6" s="556">
        <v>3864</v>
      </c>
    </row>
    <row r="7" spans="1:10" ht="32.25" customHeight="1" x14ac:dyDescent="0.25">
      <c r="A7" s="436" t="s">
        <v>761</v>
      </c>
      <c r="B7" s="556">
        <v>3925</v>
      </c>
    </row>
    <row r="8" spans="1:10" ht="25.5" x14ac:dyDescent="0.25">
      <c r="A8" s="436" t="s">
        <v>402</v>
      </c>
      <c r="B8" s="437">
        <v>45689</v>
      </c>
      <c r="C8" s="438"/>
      <c r="D8" s="438"/>
      <c r="F8" s="438"/>
      <c r="G8" s="438"/>
    </row>
    <row r="9" spans="1:10" ht="25.5" x14ac:dyDescent="0.25">
      <c r="A9" s="436" t="s">
        <v>403</v>
      </c>
      <c r="B9" s="437">
        <v>45824</v>
      </c>
      <c r="C9" s="438"/>
      <c r="D9" s="438"/>
      <c r="F9" s="438"/>
      <c r="G9" s="438"/>
      <c r="I9" s="557"/>
      <c r="J9" s="438"/>
    </row>
    <row r="10" spans="1:10" ht="25.5" x14ac:dyDescent="0.25">
      <c r="A10" s="436" t="s">
        <v>404</v>
      </c>
      <c r="B10" s="437">
        <v>45689</v>
      </c>
      <c r="C10" s="438"/>
      <c r="D10" s="438"/>
      <c r="E10" s="438"/>
      <c r="F10" s="438"/>
      <c r="G10" s="438"/>
      <c r="I10" s="557"/>
      <c r="J10" s="438"/>
    </row>
    <row r="11" spans="1:10" ht="25.5" x14ac:dyDescent="0.25">
      <c r="A11" s="436" t="s">
        <v>405</v>
      </c>
      <c r="B11" s="437">
        <v>45716</v>
      </c>
      <c r="C11" s="438"/>
      <c r="D11" s="438"/>
      <c r="E11" s="438"/>
      <c r="F11" s="438"/>
      <c r="G11" s="438"/>
    </row>
    <row r="12" spans="1:10" ht="25.5" x14ac:dyDescent="0.25">
      <c r="A12" s="436" t="s">
        <v>407</v>
      </c>
      <c r="B12" s="44">
        <f>B9-B8+1</f>
        <v>136</v>
      </c>
      <c r="C12" s="104"/>
      <c r="D12" s="104"/>
      <c r="E12" s="104"/>
      <c r="F12" s="104"/>
      <c r="G12" s="104"/>
    </row>
    <row r="13" spans="1:10" ht="25.5" x14ac:dyDescent="0.25">
      <c r="A13" s="436" t="s">
        <v>408</v>
      </c>
      <c r="B13" s="44">
        <v>0</v>
      </c>
      <c r="C13" s="104"/>
      <c r="D13" s="104"/>
      <c r="E13" s="104"/>
      <c r="F13" s="104"/>
      <c r="G13" s="104"/>
    </row>
    <row r="14" spans="1:10" ht="15" x14ac:dyDescent="0.25">
      <c r="A14" s="436" t="s">
        <v>409</v>
      </c>
      <c r="B14" s="44">
        <f>B12-B13</f>
        <v>136</v>
      </c>
      <c r="C14" s="104"/>
      <c r="D14" s="104"/>
      <c r="E14" s="104"/>
      <c r="F14" s="104"/>
      <c r="G14" s="104"/>
    </row>
    <row r="15" spans="1:10" ht="25.5" x14ac:dyDescent="0.25">
      <c r="A15" s="436" t="s">
        <v>412</v>
      </c>
      <c r="B15" s="44">
        <f>NETWORKDAYS(B8,B9)</f>
        <v>96</v>
      </c>
      <c r="C15" s="104"/>
      <c r="F15" s="104"/>
      <c r="G15" s="104"/>
    </row>
    <row r="16" spans="1:10" ht="25.5" x14ac:dyDescent="0.25">
      <c r="A16" s="436" t="s">
        <v>410</v>
      </c>
      <c r="B16" s="44">
        <f ca="1">SUMPRODUCT((WEEKDAY(ROW(INDIRECT(B$8&amp;":"&amp;B$9)))=7)*1)</f>
        <v>20</v>
      </c>
      <c r="C16" s="104"/>
      <c r="D16" s="104"/>
      <c r="E16" s="104"/>
      <c r="F16" s="104"/>
      <c r="G16" s="104"/>
    </row>
    <row r="17" spans="1:10" ht="25.5" x14ac:dyDescent="0.25">
      <c r="A17" s="436" t="s">
        <v>411</v>
      </c>
      <c r="B17" s="44">
        <f ca="1">+B15+B16</f>
        <v>116</v>
      </c>
      <c r="C17" s="104"/>
      <c r="D17" s="104"/>
      <c r="E17" s="104"/>
      <c r="F17" s="104"/>
      <c r="G17" s="104"/>
    </row>
    <row r="18" spans="1:10" ht="32.25" customHeight="1" x14ac:dyDescent="0.25">
      <c r="C18" s="104"/>
      <c r="D18" s="104"/>
      <c r="E18" s="104"/>
      <c r="F18" s="104"/>
      <c r="G18" s="104"/>
    </row>
    <row r="19" spans="1:10" ht="32.25" customHeight="1" x14ac:dyDescent="0.25">
      <c r="C19" s="441"/>
      <c r="D19" s="441"/>
      <c r="E19" s="441"/>
      <c r="F19" s="441"/>
      <c r="G19" s="441"/>
      <c r="H19" s="441"/>
    </row>
    <row r="20" spans="1:10" ht="32.25" customHeight="1" x14ac:dyDescent="0.25">
      <c r="C20" s="441"/>
      <c r="D20" s="441"/>
      <c r="E20" s="441"/>
      <c r="F20" s="441"/>
      <c r="G20" s="441"/>
      <c r="H20" s="441"/>
    </row>
    <row r="21" spans="1:10" ht="32.25" customHeight="1" x14ac:dyDescent="0.25">
      <c r="C21" s="441"/>
      <c r="D21" s="441"/>
      <c r="E21" s="441"/>
      <c r="F21" s="441"/>
      <c r="G21" s="441"/>
      <c r="H21" s="441"/>
    </row>
    <row r="22" spans="1:10" ht="32.25" customHeight="1" x14ac:dyDescent="0.25">
      <c r="C22" s="441"/>
      <c r="D22" s="441"/>
      <c r="E22" s="441"/>
      <c r="F22" s="441"/>
      <c r="G22" s="441"/>
      <c r="H22" s="441"/>
    </row>
    <row r="23" spans="1:10" ht="32.25" customHeight="1" x14ac:dyDescent="0.25">
      <c r="A23" s="557"/>
      <c r="C23" s="441"/>
      <c r="D23" s="441"/>
      <c r="E23" s="441"/>
      <c r="F23" s="441"/>
      <c r="G23" s="441"/>
      <c r="H23" s="441"/>
    </row>
    <row r="24" spans="1:10" ht="15.75" x14ac:dyDescent="0.25">
      <c r="A24" s="1196" t="s">
        <v>762</v>
      </c>
      <c r="B24" s="1196"/>
      <c r="C24" s="1196"/>
      <c r="D24" s="1196"/>
      <c r="E24" s="1196"/>
      <c r="F24" s="1196"/>
      <c r="G24" s="1196"/>
      <c r="H24" s="1196"/>
      <c r="I24" s="1196"/>
      <c r="J24" s="1196"/>
    </row>
    <row r="25" spans="1:10" ht="32.25" customHeight="1" x14ac:dyDescent="0.25">
      <c r="A25" s="558" t="s">
        <v>415</v>
      </c>
      <c r="B25" s="558" t="s">
        <v>416</v>
      </c>
      <c r="C25" s="558" t="s">
        <v>417</v>
      </c>
      <c r="D25" s="558" t="s">
        <v>418</v>
      </c>
      <c r="E25" s="558" t="s">
        <v>419</v>
      </c>
      <c r="F25" s="559" t="s">
        <v>420</v>
      </c>
      <c r="G25" s="559" t="s">
        <v>763</v>
      </c>
      <c r="H25" s="560" t="s">
        <v>764</v>
      </c>
      <c r="I25" s="560" t="s">
        <v>765</v>
      </c>
      <c r="J25" s="559" t="s">
        <v>766</v>
      </c>
    </row>
    <row r="26" spans="1:10" ht="36" x14ac:dyDescent="0.25">
      <c r="A26" s="561" t="s">
        <v>421</v>
      </c>
      <c r="B26" s="1197" t="s">
        <v>767</v>
      </c>
      <c r="C26" s="1198"/>
      <c r="D26" s="505" t="s">
        <v>423</v>
      </c>
      <c r="E26" s="505" t="s">
        <v>768</v>
      </c>
      <c r="F26" s="505" t="s">
        <v>769</v>
      </c>
      <c r="G26" s="505" t="s">
        <v>770</v>
      </c>
      <c r="H26" s="505" t="s">
        <v>424</v>
      </c>
      <c r="I26" s="562" t="s">
        <v>771</v>
      </c>
      <c r="J26" s="563">
        <f>B8</f>
        <v>45689</v>
      </c>
    </row>
    <row r="27" spans="1:10" ht="24" x14ac:dyDescent="0.25">
      <c r="A27" s="564">
        <v>2025</v>
      </c>
      <c r="B27" s="565" t="s">
        <v>752</v>
      </c>
      <c r="C27" s="566" t="s">
        <v>102</v>
      </c>
      <c r="D27" s="567">
        <v>4000</v>
      </c>
      <c r="E27" s="568">
        <f>D27*0.79</f>
        <v>3160</v>
      </c>
      <c r="F27" s="568">
        <f>+IF(A27=B4,B7,B6)</f>
        <v>3925</v>
      </c>
      <c r="G27" s="568">
        <f>F27*0.79</f>
        <v>3100.75</v>
      </c>
      <c r="H27" s="569">
        <f>MIN(E27,G27)</f>
        <v>3100.75</v>
      </c>
      <c r="I27" s="570" t="s">
        <v>403</v>
      </c>
      <c r="J27" s="571">
        <f>B9</f>
        <v>45824</v>
      </c>
    </row>
    <row r="28" spans="1:10" ht="36" x14ac:dyDescent="0.25">
      <c r="A28" s="564">
        <v>2024</v>
      </c>
      <c r="B28" s="565" t="s">
        <v>753</v>
      </c>
      <c r="C28" s="566" t="s">
        <v>772</v>
      </c>
      <c r="D28" s="567">
        <v>3500</v>
      </c>
      <c r="E28" s="568">
        <f>D28*0.79</f>
        <v>2765</v>
      </c>
      <c r="F28" s="568">
        <f>F27</f>
        <v>3925</v>
      </c>
      <c r="G28" s="568">
        <f>F28*0.79</f>
        <v>3100.75</v>
      </c>
      <c r="H28" s="569">
        <f>MIN(E28,G28)</f>
        <v>2765</v>
      </c>
      <c r="I28" s="572" t="s">
        <v>773</v>
      </c>
      <c r="J28" s="572">
        <f>J27-J26+1</f>
        <v>136</v>
      </c>
    </row>
    <row r="29" spans="1:10" ht="24" x14ac:dyDescent="0.25">
      <c r="A29" s="564">
        <v>2024</v>
      </c>
      <c r="B29" s="565" t="s">
        <v>426</v>
      </c>
      <c r="C29" s="566" t="s">
        <v>774</v>
      </c>
      <c r="D29" s="567">
        <v>3500</v>
      </c>
      <c r="E29" s="568">
        <f>D29*0.79</f>
        <v>2765</v>
      </c>
      <c r="F29" s="568">
        <f>F27</f>
        <v>3925</v>
      </c>
      <c r="G29" s="568">
        <f>F29*0.79</f>
        <v>3100.75</v>
      </c>
      <c r="H29" s="569">
        <f>MIN(E29,G29)</f>
        <v>2765</v>
      </c>
      <c r="I29" s="572" t="s">
        <v>408</v>
      </c>
      <c r="J29" s="572">
        <v>0</v>
      </c>
    </row>
    <row r="30" spans="1:10" ht="15.75" x14ac:dyDescent="0.25">
      <c r="A30" s="450"/>
      <c r="B30" s="450"/>
      <c r="C30" s="451"/>
      <c r="D30" s="451"/>
      <c r="E30" s="451"/>
      <c r="F30" s="451"/>
      <c r="G30" s="573" t="s">
        <v>89</v>
      </c>
      <c r="H30" s="574">
        <f>SUM(H27:H29)</f>
        <v>8630.75</v>
      </c>
      <c r="I30" s="575" t="s">
        <v>409</v>
      </c>
      <c r="J30" s="575">
        <f>J28-J29</f>
        <v>136</v>
      </c>
    </row>
    <row r="31" spans="1:10" ht="15.75" x14ac:dyDescent="0.25">
      <c r="A31" s="450" t="s">
        <v>775</v>
      </c>
      <c r="B31" s="450"/>
      <c r="C31" s="441"/>
      <c r="D31" s="441"/>
      <c r="E31" s="441"/>
      <c r="F31" s="1193" t="s">
        <v>427</v>
      </c>
      <c r="G31" s="1193"/>
      <c r="H31" s="576">
        <f>ROUND(H30/91.25,2)</f>
        <v>94.58</v>
      </c>
      <c r="I31" s="577"/>
      <c r="J31" s="522"/>
    </row>
    <row r="32" spans="1:10" ht="15.75" x14ac:dyDescent="0.25">
      <c r="A32" s="450"/>
      <c r="B32" s="450"/>
      <c r="C32" s="441"/>
      <c r="D32" s="441"/>
      <c r="E32" s="441"/>
      <c r="F32" s="1199" t="s">
        <v>428</v>
      </c>
      <c r="G32" s="1199"/>
      <c r="H32" s="578">
        <f>J30</f>
        <v>136</v>
      </c>
      <c r="I32" s="579"/>
      <c r="J32" s="522"/>
    </row>
    <row r="33" spans="1:11" ht="15.75" x14ac:dyDescent="0.25">
      <c r="A33" s="450"/>
      <c r="B33" s="450"/>
      <c r="C33" s="441"/>
      <c r="D33" s="441"/>
      <c r="E33" s="441"/>
      <c r="F33" s="1193" t="s">
        <v>455</v>
      </c>
      <c r="G33" s="1193"/>
      <c r="H33" s="576">
        <f>ROUND(H31*H32,2)</f>
        <v>12862.88</v>
      </c>
      <c r="I33" s="522"/>
      <c r="J33" s="522"/>
    </row>
    <row r="34" spans="1:11" ht="15.75" x14ac:dyDescent="0.25">
      <c r="A34" s="450"/>
      <c r="B34" s="450"/>
      <c r="C34" s="441"/>
      <c r="D34" s="441"/>
      <c r="E34" s="441"/>
      <c r="F34" s="1193" t="s">
        <v>776</v>
      </c>
      <c r="G34" s="1193"/>
      <c r="H34" s="574">
        <f>H33*3.8%</f>
        <v>488.78943999999996</v>
      </c>
      <c r="I34" s="522"/>
      <c r="J34" s="577"/>
      <c r="K34" s="580"/>
    </row>
    <row r="35" spans="1:11" ht="15.75" x14ac:dyDescent="0.25">
      <c r="A35" s="450"/>
      <c r="B35" s="450"/>
      <c r="C35" s="441"/>
      <c r="D35" s="441"/>
      <c r="E35" s="441"/>
      <c r="F35" s="1193" t="s">
        <v>777</v>
      </c>
      <c r="G35" s="1193"/>
      <c r="H35" s="574">
        <f>H33*2.9%</f>
        <v>373.02351999999996</v>
      </c>
      <c r="I35" s="522"/>
      <c r="J35" s="522"/>
    </row>
    <row r="36" spans="1:11" ht="15.75" x14ac:dyDescent="0.25">
      <c r="F36" s="1193" t="s">
        <v>778</v>
      </c>
      <c r="G36" s="1193"/>
      <c r="H36" s="576">
        <f>H33-H34-H35</f>
        <v>12001.067039999998</v>
      </c>
      <c r="I36" s="181"/>
      <c r="J36" s="181"/>
    </row>
    <row r="37" spans="1:11" ht="15.75" x14ac:dyDescent="0.25">
      <c r="D37" t="s">
        <v>779</v>
      </c>
      <c r="F37" s="1193" t="s">
        <v>780</v>
      </c>
      <c r="G37" s="1193"/>
      <c r="H37" s="574">
        <f>H33-H34</f>
        <v>12374.090559999999</v>
      </c>
    </row>
    <row r="38" spans="1:11" ht="15.75" x14ac:dyDescent="0.25">
      <c r="G38" s="577"/>
      <c r="H38" s="577"/>
    </row>
    <row r="39" spans="1:11" ht="32.25" customHeight="1" x14ac:dyDescent="0.25">
      <c r="G39" s="580"/>
      <c r="H39" s="580"/>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2578125" defaultRowHeight="15" x14ac:dyDescent="0.25"/>
  <cols>
    <col min="1" max="1" width="9.42578125" style="56" customWidth="1"/>
    <col min="2" max="2" width="54.28515625" style="56" customWidth="1"/>
    <col min="3" max="3" width="21.85546875" style="592" customWidth="1"/>
    <col min="4" max="4" width="16.28515625" style="56" customWidth="1"/>
    <col min="5" max="5" width="18.28515625" style="56" customWidth="1"/>
    <col min="6" max="6" width="15.5703125" style="56" customWidth="1"/>
    <col min="7" max="7" width="11.42578125" style="56"/>
    <col min="8" max="8" width="15.7109375" style="56" customWidth="1"/>
    <col min="9" max="10" width="23.28515625" style="56" customWidth="1"/>
    <col min="11" max="16384" width="11.42578125" style="56"/>
  </cols>
  <sheetData>
    <row r="1" spans="1:11" ht="22.15" customHeight="1" x14ac:dyDescent="0.25">
      <c r="B1" s="936" t="s">
        <v>781</v>
      </c>
      <c r="C1" s="936"/>
    </row>
    <row r="2" spans="1:11" ht="22.15" customHeight="1" x14ac:dyDescent="0.25">
      <c r="B2" s="37" t="s">
        <v>395</v>
      </c>
      <c r="C2" s="581"/>
      <c r="E2" s="59"/>
      <c r="F2" s="59"/>
      <c r="G2" s="59"/>
      <c r="J2" s="59"/>
      <c r="K2" s="59"/>
    </row>
    <row r="3" spans="1:11" ht="22.15" customHeight="1" x14ac:dyDescent="0.25">
      <c r="B3" s="37" t="s">
        <v>782</v>
      </c>
      <c r="C3" s="581"/>
      <c r="E3" s="59"/>
      <c r="F3" s="59"/>
      <c r="G3" s="59"/>
      <c r="J3" s="59"/>
      <c r="K3" s="59"/>
    </row>
    <row r="4" spans="1:11" ht="22.15" customHeight="1" x14ac:dyDescent="0.25">
      <c r="A4" s="1086" t="s">
        <v>295</v>
      </c>
      <c r="B4" s="970" t="s">
        <v>783</v>
      </c>
      <c r="C4" s="1200"/>
    </row>
    <row r="5" spans="1:11" ht="22.15" customHeight="1" x14ac:dyDescent="0.25">
      <c r="A5" s="1088"/>
      <c r="B5" s="970"/>
      <c r="C5" s="1200"/>
    </row>
    <row r="6" spans="1:11" ht="22.15" customHeight="1" x14ac:dyDescent="0.25">
      <c r="A6" s="1201" t="s">
        <v>251</v>
      </c>
      <c r="B6" s="1202" t="s">
        <v>784</v>
      </c>
      <c r="C6" s="1200"/>
    </row>
    <row r="7" spans="1:11" ht="78.599999999999994" customHeight="1" x14ac:dyDescent="0.25">
      <c r="A7" s="1201"/>
      <c r="B7" s="1203"/>
      <c r="C7" s="1200"/>
    </row>
    <row r="8" spans="1:11" ht="22.15" customHeight="1" x14ac:dyDescent="0.25">
      <c r="A8" s="427" t="s">
        <v>216</v>
      </c>
      <c r="B8" s="533" t="s">
        <v>785</v>
      </c>
      <c r="C8" s="581"/>
    </row>
    <row r="9" spans="1:11" x14ac:dyDescent="0.25">
      <c r="A9" s="1204" t="s">
        <v>252</v>
      </c>
      <c r="B9" s="1086" t="s">
        <v>786</v>
      </c>
      <c r="C9" s="1206">
        <f>IF(C6=0,0,IF(C6=1,C8/12,IF(C6=2,C8/6,IF(C6=3,C8/3,IF(C6=4,C8/2)))))</f>
        <v>0</v>
      </c>
    </row>
    <row r="10" spans="1:11" x14ac:dyDescent="0.25">
      <c r="A10" s="1205"/>
      <c r="B10" s="1088"/>
      <c r="C10" s="1206"/>
    </row>
    <row r="11" spans="1:11" x14ac:dyDescent="0.25">
      <c r="A11" s="1204" t="s">
        <v>253</v>
      </c>
      <c r="B11" s="1086" t="s">
        <v>787</v>
      </c>
      <c r="C11" s="1207">
        <f>C4+C9</f>
        <v>0</v>
      </c>
    </row>
    <row r="12" spans="1:11" x14ac:dyDescent="0.25">
      <c r="A12" s="1205"/>
      <c r="B12" s="1088"/>
      <c r="C12" s="1207"/>
    </row>
    <row r="13" spans="1:11" x14ac:dyDescent="0.25">
      <c r="A13" s="1204" t="s">
        <v>252</v>
      </c>
      <c r="B13" s="1209" t="s">
        <v>788</v>
      </c>
      <c r="C13" s="1207">
        <f>C11/30.42</f>
        <v>0</v>
      </c>
      <c r="D13" s="1035"/>
    </row>
    <row r="14" spans="1:11" x14ac:dyDescent="0.25">
      <c r="A14" s="1205"/>
      <c r="B14" s="1210"/>
      <c r="C14" s="1207"/>
      <c r="D14" s="1035"/>
    </row>
    <row r="15" spans="1:11" x14ac:dyDescent="0.25">
      <c r="B15" s="582" t="s">
        <v>789</v>
      </c>
      <c r="C15" s="583"/>
      <c r="F15" s="1035"/>
      <c r="G15" s="1035"/>
      <c r="H15" s="1208"/>
    </row>
    <row r="16" spans="1:11" x14ac:dyDescent="0.25">
      <c r="B16" s="427" t="s">
        <v>790</v>
      </c>
      <c r="C16" s="585">
        <f>60%*C13</f>
        <v>0</v>
      </c>
      <c r="F16" s="1035"/>
      <c r="G16" s="1035"/>
      <c r="H16" s="1208"/>
    </row>
    <row r="17" spans="2:8" x14ac:dyDescent="0.25">
      <c r="B17" s="427" t="s">
        <v>791</v>
      </c>
      <c r="C17" s="585">
        <f>C13*0.79</f>
        <v>0</v>
      </c>
      <c r="F17" s="1035"/>
      <c r="G17" s="1035"/>
      <c r="H17" s="1208"/>
    </row>
    <row r="18" spans="2:8" x14ac:dyDescent="0.25">
      <c r="B18" s="427" t="s">
        <v>792</v>
      </c>
      <c r="C18" s="585">
        <f>MIN(C16,C17)</f>
        <v>0</v>
      </c>
      <c r="F18" s="1035"/>
      <c r="G18" s="1035"/>
      <c r="H18" s="1208"/>
    </row>
    <row r="19" spans="2:8" x14ac:dyDescent="0.25">
      <c r="B19" s="427" t="s">
        <v>793</v>
      </c>
      <c r="C19" s="585">
        <f>0.834%*C2*12*60 %</f>
        <v>0</v>
      </c>
      <c r="F19" s="59"/>
      <c r="G19" s="59"/>
      <c r="H19" s="584"/>
    </row>
    <row r="20" spans="2:8" x14ac:dyDescent="0.25">
      <c r="B20" s="427" t="s">
        <v>794</v>
      </c>
      <c r="C20" s="586">
        <f>MIN(C18,C19)</f>
        <v>0</v>
      </c>
      <c r="F20" s="59"/>
      <c r="G20" s="59"/>
      <c r="H20" s="584"/>
    </row>
    <row r="21" spans="2:8" x14ac:dyDescent="0.25">
      <c r="B21" s="582" t="s">
        <v>795</v>
      </c>
      <c r="C21" s="585"/>
      <c r="F21" s="59"/>
      <c r="G21" s="59"/>
      <c r="H21" s="584"/>
    </row>
    <row r="22" spans="2:8" x14ac:dyDescent="0.25">
      <c r="B22" s="427" t="s">
        <v>791</v>
      </c>
      <c r="C22" s="585">
        <f>C17</f>
        <v>0</v>
      </c>
      <c r="F22" s="59"/>
      <c r="G22" s="59"/>
      <c r="H22" s="584"/>
    </row>
    <row r="23" spans="2:8" x14ac:dyDescent="0.25">
      <c r="B23" s="427" t="s">
        <v>796</v>
      </c>
      <c r="C23" s="585">
        <f>80%*C13</f>
        <v>0</v>
      </c>
      <c r="F23" s="59"/>
      <c r="G23" s="59"/>
      <c r="H23" s="584"/>
    </row>
    <row r="24" spans="2:8" x14ac:dyDescent="0.25">
      <c r="B24" s="427" t="s">
        <v>797</v>
      </c>
      <c r="C24" s="585">
        <f>MIN(C22,C23)</f>
        <v>0</v>
      </c>
      <c r="F24" s="59"/>
      <c r="G24" s="59"/>
      <c r="H24" s="584"/>
    </row>
    <row r="25" spans="2:8" x14ac:dyDescent="0.25">
      <c r="B25" s="427" t="s">
        <v>798</v>
      </c>
      <c r="C25" s="585">
        <f>0.834%*C2*12*80 %</f>
        <v>0</v>
      </c>
      <c r="F25" s="59"/>
      <c r="G25" s="59"/>
      <c r="H25" s="584"/>
    </row>
    <row r="26" spans="2:8" x14ac:dyDescent="0.25">
      <c r="B26" s="427" t="s">
        <v>799</v>
      </c>
      <c r="C26" s="586">
        <f>MIN(C24,C25)</f>
        <v>0</v>
      </c>
      <c r="F26" s="59"/>
      <c r="G26" s="59"/>
      <c r="H26" s="584"/>
    </row>
    <row r="27" spans="2:8" x14ac:dyDescent="0.25">
      <c r="B27" s="427" t="s">
        <v>800</v>
      </c>
      <c r="C27" s="586">
        <f>IF(C3&lt;=28,C20,C26)</f>
        <v>0</v>
      </c>
      <c r="F27" s="59"/>
      <c r="G27" s="59"/>
      <c r="H27" s="584"/>
    </row>
    <row r="28" spans="2:8" x14ac:dyDescent="0.25">
      <c r="B28" s="587" t="s">
        <v>801</v>
      </c>
      <c r="C28" s="588">
        <f>C27*3.8%</f>
        <v>0</v>
      </c>
    </row>
    <row r="29" spans="2:8" x14ac:dyDescent="0.25">
      <c r="B29" s="587" t="s">
        <v>802</v>
      </c>
      <c r="C29" s="588">
        <f>C27*2.9%</f>
        <v>0</v>
      </c>
    </row>
    <row r="30" spans="2:8" x14ac:dyDescent="0.25">
      <c r="B30" s="589" t="s">
        <v>778</v>
      </c>
      <c r="C30" s="590">
        <f>C27-C28-C29</f>
        <v>0</v>
      </c>
    </row>
    <row r="31" spans="2:8" x14ac:dyDescent="0.25">
      <c r="B31" s="587" t="s">
        <v>803</v>
      </c>
      <c r="C31" s="588">
        <f>50% * C27</f>
        <v>0</v>
      </c>
    </row>
    <row r="32" spans="2:8" x14ac:dyDescent="0.25">
      <c r="B32" s="587" t="s">
        <v>804</v>
      </c>
      <c r="C32" s="588">
        <f>C31*3.8%</f>
        <v>0</v>
      </c>
    </row>
    <row r="33" spans="2:3" ht="28.5" x14ac:dyDescent="0.25">
      <c r="B33" s="74" t="s">
        <v>805</v>
      </c>
      <c r="C33" s="590">
        <f>+C31-C32</f>
        <v>0</v>
      </c>
    </row>
    <row r="34" spans="2:3" x14ac:dyDescent="0.25">
      <c r="B34" s="37" t="s">
        <v>409</v>
      </c>
      <c r="C34" s="591">
        <f>C3</f>
        <v>0</v>
      </c>
    </row>
    <row r="35" spans="2:3" x14ac:dyDescent="0.25">
      <c r="B35" s="37" t="s">
        <v>806</v>
      </c>
      <c r="C35" s="591">
        <f>C27*C3</f>
        <v>0</v>
      </c>
    </row>
    <row r="36" spans="2:3" x14ac:dyDescent="0.25">
      <c r="B36" s="37" t="s">
        <v>807</v>
      </c>
      <c r="C36" s="591">
        <f>C30*C3</f>
        <v>0</v>
      </c>
    </row>
    <row r="37" spans="2:3" ht="30" x14ac:dyDescent="0.25">
      <c r="B37" s="37" t="s">
        <v>808</v>
      </c>
      <c r="C37" s="591">
        <f>C33*C3</f>
        <v>0</v>
      </c>
    </row>
  </sheetData>
  <mergeCells count="20">
    <mergeCell ref="H15:H18"/>
    <mergeCell ref="A13:A14"/>
    <mergeCell ref="B13:B14"/>
    <mergeCell ref="C13:C14"/>
    <mergeCell ref="D13:D14"/>
    <mergeCell ref="F15:F18"/>
    <mergeCell ref="G15:G18"/>
    <mergeCell ref="A9:A10"/>
    <mergeCell ref="B9:B10"/>
    <mergeCell ref="C9:C10"/>
    <mergeCell ref="A11:A12"/>
    <mergeCell ref="B11:B12"/>
    <mergeCell ref="C11:C12"/>
    <mergeCell ref="B1:C1"/>
    <mergeCell ref="A4:A5"/>
    <mergeCell ref="B4:B5"/>
    <mergeCell ref="C4:C5"/>
    <mergeCell ref="A6:A7"/>
    <mergeCell ref="B6:B7"/>
    <mergeCell ref="C6:C7"/>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0" workbookViewId="0">
      <selection activeCell="B5" sqref="B5"/>
    </sheetView>
  </sheetViews>
  <sheetFormatPr baseColWidth="10" defaultColWidth="11.5703125" defaultRowHeight="15.75" x14ac:dyDescent="0.25"/>
  <cols>
    <col min="1" max="1" width="5.42578125" style="181" customWidth="1"/>
    <col min="2" max="2" width="14.85546875" style="181" customWidth="1"/>
    <col min="3" max="16384" width="11.5703125" style="181"/>
  </cols>
  <sheetData>
    <row r="3" spans="2:4" x14ac:dyDescent="0.25">
      <c r="B3" s="181" t="s">
        <v>829</v>
      </c>
    </row>
    <row r="5" spans="2:4" x14ac:dyDescent="0.25">
      <c r="B5" s="181" t="s">
        <v>830</v>
      </c>
    </row>
    <row r="6" spans="2:4" x14ac:dyDescent="0.25">
      <c r="B6" s="181" t="s">
        <v>831</v>
      </c>
    </row>
    <row r="7" spans="2:4" x14ac:dyDescent="0.25">
      <c r="B7" s="181" t="s">
        <v>865</v>
      </c>
    </row>
    <row r="9" spans="2:4" x14ac:dyDescent="0.25">
      <c r="C9" s="630" t="s">
        <v>832</v>
      </c>
      <c r="D9" s="181" t="s">
        <v>833</v>
      </c>
    </row>
    <row r="10" spans="2:4" x14ac:dyDescent="0.25">
      <c r="D10" s="181" t="s">
        <v>834</v>
      </c>
    </row>
    <row r="11" spans="2:4" x14ac:dyDescent="0.25">
      <c r="D11" s="181" t="s">
        <v>835</v>
      </c>
    </row>
    <row r="13" spans="2:4" x14ac:dyDescent="0.25">
      <c r="C13" s="631" t="s">
        <v>836</v>
      </c>
      <c r="D13" s="181" t="s">
        <v>837</v>
      </c>
    </row>
    <row r="14" spans="2:4" x14ac:dyDescent="0.25">
      <c r="D14" s="181" t="s">
        <v>838</v>
      </c>
    </row>
    <row r="16" spans="2:4" x14ac:dyDescent="0.25">
      <c r="B16" s="181" t="s">
        <v>839</v>
      </c>
    </row>
    <row r="18" spans="2:4" x14ac:dyDescent="0.25">
      <c r="C18" s="181" t="s">
        <v>840</v>
      </c>
    </row>
    <row r="19" spans="2:4" x14ac:dyDescent="0.25">
      <c r="C19" s="181" t="s">
        <v>841</v>
      </c>
    </row>
    <row r="20" spans="2:4" x14ac:dyDescent="0.25">
      <c r="C20" s="181" t="s">
        <v>842</v>
      </c>
    </row>
    <row r="21" spans="2:4" x14ac:dyDescent="0.25">
      <c r="C21" s="181" t="s">
        <v>843</v>
      </c>
    </row>
    <row r="23" spans="2:4" x14ac:dyDescent="0.25">
      <c r="B23" s="181" t="s">
        <v>844</v>
      </c>
    </row>
    <row r="24" spans="2:4" x14ac:dyDescent="0.25">
      <c r="D24" s="181">
        <v>128</v>
      </c>
    </row>
    <row r="25" spans="2:4" x14ac:dyDescent="0.25">
      <c r="D25" s="181">
        <v>132</v>
      </c>
    </row>
    <row r="26" spans="2:4" x14ac:dyDescent="0.25">
      <c r="D26" s="181">
        <v>133</v>
      </c>
    </row>
    <row r="27" spans="2:4" x14ac:dyDescent="0.25">
      <c r="D27" s="181">
        <v>134</v>
      </c>
    </row>
    <row r="28" spans="2:4" x14ac:dyDescent="0.25">
      <c r="D28" s="181">
        <v>135</v>
      </c>
    </row>
    <row r="29" spans="2:4" x14ac:dyDescent="0.25">
      <c r="D29" s="181">
        <v>136</v>
      </c>
    </row>
    <row r="30" spans="2:4" x14ac:dyDescent="0.25">
      <c r="D30" s="181">
        <v>137</v>
      </c>
    </row>
    <row r="31" spans="2:4" x14ac:dyDescent="0.25">
      <c r="C31" s="181" t="s">
        <v>845</v>
      </c>
    </row>
    <row r="34" spans="2:2" x14ac:dyDescent="0.25">
      <c r="B34" s="181" t="s">
        <v>846</v>
      </c>
    </row>
    <row r="36" spans="2:2" x14ac:dyDescent="0.25">
      <c r="B36" s="181" t="s">
        <v>866</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C3737-1AC5-4E8D-BC09-151F48C06766}">
  <dimension ref="A2:L78"/>
  <sheetViews>
    <sheetView topLeftCell="B94" workbookViewId="0">
      <selection activeCell="E99" sqref="E99"/>
    </sheetView>
  </sheetViews>
  <sheetFormatPr baseColWidth="10" defaultColWidth="11.42578125" defaultRowHeight="15.75" x14ac:dyDescent="0.25"/>
  <cols>
    <col min="1" max="1" width="34.85546875" style="181" customWidth="1"/>
    <col min="2" max="2" width="11.42578125" style="181"/>
    <col min="3" max="3" width="15.42578125" style="181" customWidth="1"/>
    <col min="4" max="4" width="15" style="181" customWidth="1"/>
    <col min="5" max="5" width="11.85546875" style="181" bestFit="1" customWidth="1"/>
    <col min="6" max="6" width="13.5703125" style="181" bestFit="1" customWidth="1"/>
    <col min="7" max="7" width="11.42578125" style="181"/>
    <col min="8" max="8" width="24.7109375" style="181" customWidth="1"/>
    <col min="9" max="9" width="13.5703125" style="181" bestFit="1" customWidth="1"/>
    <col min="10" max="11" width="11.42578125" style="181"/>
    <col min="12" max="12" width="13.5703125" style="181" hidden="1" customWidth="1"/>
    <col min="13" max="16384" width="11.42578125" style="181"/>
  </cols>
  <sheetData>
    <row r="2" spans="1:12" x14ac:dyDescent="0.25">
      <c r="A2" s="739" t="s">
        <v>882</v>
      </c>
      <c r="B2" s="740" t="s">
        <v>883</v>
      </c>
    </row>
    <row r="3" spans="1:12" x14ac:dyDescent="0.25">
      <c r="A3" s="739"/>
      <c r="B3" s="740"/>
    </row>
    <row r="4" spans="1:12" ht="28.5" customHeight="1" x14ac:dyDescent="0.25">
      <c r="B4" s="741" t="s">
        <v>884</v>
      </c>
      <c r="C4" s="742"/>
      <c r="D4" s="742"/>
      <c r="E4" s="742"/>
      <c r="F4" s="742"/>
      <c r="G4" s="742"/>
      <c r="H4" s="741"/>
      <c r="I4" s="741"/>
      <c r="J4"/>
      <c r="K4"/>
      <c r="L4"/>
    </row>
    <row r="5" spans="1:12" ht="28.5" customHeight="1" x14ac:dyDescent="0.25">
      <c r="B5" s="741" t="s">
        <v>885</v>
      </c>
      <c r="C5" s="742"/>
      <c r="D5" s="742"/>
      <c r="E5" s="742"/>
      <c r="F5" s="742"/>
      <c r="G5" s="742"/>
      <c r="H5" s="741"/>
      <c r="I5" s="741"/>
      <c r="J5"/>
      <c r="K5"/>
      <c r="L5"/>
    </row>
    <row r="6" spans="1:12" ht="28.5" customHeight="1" x14ac:dyDescent="0.25">
      <c r="B6" s="741" t="s">
        <v>886</v>
      </c>
      <c r="C6" s="742"/>
      <c r="D6" s="742"/>
      <c r="E6" s="742"/>
      <c r="F6" s="742"/>
      <c r="G6" s="742"/>
      <c r="H6" s="741"/>
      <c r="I6" s="741"/>
      <c r="J6"/>
      <c r="K6"/>
      <c r="L6"/>
    </row>
    <row r="7" spans="1:12" ht="28.5" customHeight="1" x14ac:dyDescent="0.25">
      <c r="B7" s="743" t="s">
        <v>887</v>
      </c>
      <c r="C7" s="742"/>
      <c r="D7" s="742"/>
      <c r="E7" s="742"/>
      <c r="F7" s="742"/>
      <c r="G7" s="742"/>
      <c r="H7" s="741"/>
      <c r="I7" s="741"/>
      <c r="J7"/>
      <c r="K7"/>
      <c r="L7"/>
    </row>
    <row r="8" spans="1:12" ht="28.5" customHeight="1" x14ac:dyDescent="0.25">
      <c r="B8" s="741" t="s">
        <v>888</v>
      </c>
      <c r="C8" s="742"/>
      <c r="D8" s="742"/>
      <c r="E8" s="742"/>
      <c r="F8" s="742"/>
      <c r="G8" s="742"/>
      <c r="H8" s="741"/>
      <c r="I8" s="741"/>
      <c r="J8"/>
      <c r="K8"/>
      <c r="L8"/>
    </row>
    <row r="9" spans="1:12" ht="28.5" customHeight="1" x14ac:dyDescent="0.25">
      <c r="B9" s="741" t="s">
        <v>889</v>
      </c>
      <c r="C9" s="742"/>
      <c r="D9" s="742"/>
      <c r="E9" s="742"/>
      <c r="F9" s="742"/>
      <c r="G9" s="742"/>
      <c r="H9" s="741"/>
      <c r="I9" s="741"/>
      <c r="J9"/>
      <c r="K9"/>
      <c r="L9"/>
    </row>
    <row r="10" spans="1:12" ht="28.5" customHeight="1" x14ac:dyDescent="0.25">
      <c r="B10"/>
      <c r="C10"/>
      <c r="D10"/>
      <c r="E10"/>
      <c r="F10"/>
      <c r="G10"/>
      <c r="H10"/>
      <c r="I10"/>
      <c r="J10"/>
      <c r="K10"/>
      <c r="L10"/>
    </row>
    <row r="11" spans="1:12" x14ac:dyDescent="0.25">
      <c r="A11" s="181" t="s">
        <v>890</v>
      </c>
    </row>
    <row r="13" spans="1:12" x14ac:dyDescent="0.25">
      <c r="B13" s="181" t="s">
        <v>891</v>
      </c>
    </row>
    <row r="14" spans="1:12" x14ac:dyDescent="0.25">
      <c r="B14" s="181" t="s">
        <v>892</v>
      </c>
    </row>
    <row r="15" spans="1:12" x14ac:dyDescent="0.25">
      <c r="B15" s="181" t="s">
        <v>893</v>
      </c>
    </row>
    <row r="16" spans="1:12" x14ac:dyDescent="0.25">
      <c r="B16" s="181" t="s">
        <v>894</v>
      </c>
    </row>
    <row r="17" spans="1:12" x14ac:dyDescent="0.25">
      <c r="B17" s="181" t="s">
        <v>895</v>
      </c>
    </row>
    <row r="19" spans="1:12" x14ac:dyDescent="0.25">
      <c r="A19" s="181" t="s">
        <v>896</v>
      </c>
    </row>
    <row r="20" spans="1:12" x14ac:dyDescent="0.25">
      <c r="B20" s="181" t="s">
        <v>897</v>
      </c>
    </row>
    <row r="21" spans="1:12" x14ac:dyDescent="0.25">
      <c r="B21" s="744">
        <v>44927</v>
      </c>
    </row>
    <row r="22" spans="1:12" x14ac:dyDescent="0.25">
      <c r="B22" s="181" t="s">
        <v>898</v>
      </c>
    </row>
    <row r="23" spans="1:12" x14ac:dyDescent="0.25">
      <c r="A23" s="181" t="s">
        <v>899</v>
      </c>
    </row>
    <row r="24" spans="1:12" x14ac:dyDescent="0.25">
      <c r="A24" s="181" t="s">
        <v>900</v>
      </c>
    </row>
    <row r="25" spans="1:12" x14ac:dyDescent="0.25">
      <c r="A25" s="181" t="s">
        <v>901</v>
      </c>
    </row>
    <row r="26" spans="1:12" ht="18.75" x14ac:dyDescent="0.3">
      <c r="A26" s="181" t="s">
        <v>902</v>
      </c>
      <c r="B26" s="745" t="s">
        <v>903</v>
      </c>
    </row>
    <row r="27" spans="1:12" ht="28.5" customHeight="1" x14ac:dyDescent="0.25">
      <c r="A27"/>
      <c r="B27"/>
      <c r="C27"/>
      <c r="D27"/>
      <c r="E27"/>
      <c r="F27"/>
      <c r="G27"/>
      <c r="H27"/>
      <c r="I27"/>
      <c r="J27"/>
      <c r="K27"/>
      <c r="L27"/>
    </row>
    <row r="28" spans="1:12" ht="28.5" customHeight="1" x14ac:dyDescent="0.25">
      <c r="A28" s="181" t="s">
        <v>904</v>
      </c>
      <c r="B28" s="208"/>
      <c r="C28" s="208"/>
      <c r="D28" s="208"/>
      <c r="E28" s="208"/>
      <c r="F28" s="208"/>
      <c r="G28" s="208"/>
      <c r="H28" s="208"/>
      <c r="I28" s="208"/>
      <c r="J28" s="208"/>
      <c r="K28" s="208"/>
      <c r="L28" s="208"/>
    </row>
    <row r="29" spans="1:12" ht="28.5" customHeight="1" x14ac:dyDescent="0.25">
      <c r="A29" s="181" t="s">
        <v>308</v>
      </c>
      <c r="B29" s="183">
        <v>169</v>
      </c>
      <c r="C29" s="183" t="s">
        <v>905</v>
      </c>
      <c r="D29" s="208"/>
      <c r="E29" s="208"/>
      <c r="F29" s="208"/>
      <c r="L29" s="208"/>
    </row>
    <row r="30" spans="1:12" ht="28.5" customHeight="1" x14ac:dyDescent="0.25">
      <c r="A30" s="181" t="s">
        <v>906</v>
      </c>
      <c r="B30" s="183">
        <v>151.66999999999999</v>
      </c>
      <c r="C30" s="183" t="s">
        <v>907</v>
      </c>
      <c r="D30" s="208"/>
      <c r="E30" s="208"/>
      <c r="F30" s="208"/>
      <c r="G30" s="208"/>
      <c r="J30" s="208"/>
      <c r="K30" s="208"/>
      <c r="L30" s="208"/>
    </row>
    <row r="31" spans="1:12" ht="28.5" customHeight="1" x14ac:dyDescent="0.25">
      <c r="A31" s="181" t="s">
        <v>908</v>
      </c>
      <c r="B31" s="183">
        <f>+B29-B30</f>
        <v>17.330000000000013</v>
      </c>
      <c r="C31" s="183" t="s">
        <v>909</v>
      </c>
      <c r="D31" s="208"/>
      <c r="E31" s="208"/>
      <c r="F31" s="208"/>
      <c r="G31" s="208"/>
      <c r="J31" s="208"/>
      <c r="K31" s="208"/>
      <c r="L31" s="208"/>
    </row>
    <row r="32" spans="1:12" ht="15" customHeight="1" x14ac:dyDescent="0.25">
      <c r="D32" s="208"/>
      <c r="E32" s="208"/>
      <c r="F32" s="208"/>
      <c r="G32" s="208"/>
      <c r="H32" s="208"/>
      <c r="I32" s="208"/>
      <c r="J32" s="208"/>
      <c r="K32" s="208"/>
      <c r="L32" s="208"/>
    </row>
    <row r="33" spans="2:12" x14ac:dyDescent="0.25">
      <c r="B33" s="793" t="s">
        <v>910</v>
      </c>
      <c r="C33" s="793"/>
      <c r="D33" s="793"/>
      <c r="E33" s="793"/>
      <c r="F33" s="793"/>
      <c r="G33" s="208"/>
      <c r="H33" s="208"/>
      <c r="I33" s="208"/>
      <c r="J33" s="208"/>
      <c r="K33" s="208"/>
      <c r="L33" s="208"/>
    </row>
    <row r="34" spans="2:12" ht="15" customHeight="1" x14ac:dyDescent="0.25">
      <c r="D34" s="208"/>
      <c r="E34" s="208"/>
      <c r="F34" s="208"/>
      <c r="G34" s="208"/>
      <c r="H34" s="208"/>
      <c r="I34" s="208"/>
      <c r="J34" s="208"/>
      <c r="K34" s="208"/>
      <c r="L34" s="208"/>
    </row>
    <row r="35" spans="2:12" ht="15" customHeight="1" x14ac:dyDescent="0.25">
      <c r="B35" s="795" t="s">
        <v>919</v>
      </c>
      <c r="C35" s="795"/>
      <c r="D35" s="795"/>
      <c r="F35" s="208">
        <f>3500/ (151.67+1.1*17.33)</f>
        <v>20.499844786889472</v>
      </c>
      <c r="G35" s="794" t="s">
        <v>911</v>
      </c>
      <c r="H35" s="794"/>
      <c r="I35" s="208"/>
      <c r="J35" s="208"/>
      <c r="K35" s="208"/>
      <c r="L35" s="208"/>
    </row>
    <row r="36" spans="2:12" ht="15" customHeight="1" x14ac:dyDescent="0.25">
      <c r="D36" s="208"/>
      <c r="E36" s="208"/>
      <c r="F36" s="208"/>
      <c r="G36" s="208"/>
      <c r="H36" s="208"/>
      <c r="I36" s="208"/>
      <c r="J36" s="208"/>
      <c r="K36" s="208"/>
      <c r="L36" s="208"/>
    </row>
    <row r="37" spans="2:12" x14ac:dyDescent="0.25">
      <c r="B37" s="746" t="s">
        <v>912</v>
      </c>
    </row>
    <row r="38" spans="2:12" ht="15" customHeight="1" x14ac:dyDescent="0.25"/>
    <row r="39" spans="2:12" x14ac:dyDescent="0.25">
      <c r="B39" s="181" t="s">
        <v>309</v>
      </c>
      <c r="D39" s="181">
        <v>151.66999999999999</v>
      </c>
      <c r="E39" s="768">
        <f>F35</f>
        <v>20.499844786889472</v>
      </c>
      <c r="F39" s="747">
        <f>ROUND(D39*E39,2)</f>
        <v>3109.21</v>
      </c>
    </row>
    <row r="40" spans="2:12" ht="15" customHeight="1" x14ac:dyDescent="0.25">
      <c r="D40" s="181">
        <v>17.329999999999998</v>
      </c>
      <c r="E40" s="747">
        <f>E39*1.1</f>
        <v>22.54982926557842</v>
      </c>
      <c r="F40" s="747">
        <f>ROUND(D40*E40,2)</f>
        <v>390.79</v>
      </c>
    </row>
    <row r="41" spans="2:12" ht="15" customHeight="1" x14ac:dyDescent="0.25">
      <c r="D41" s="181">
        <v>169</v>
      </c>
      <c r="E41" s="747">
        <f>ROUND(F41/D41,2)</f>
        <v>20.71</v>
      </c>
      <c r="F41" s="747">
        <f>+F39+F40</f>
        <v>3500</v>
      </c>
    </row>
    <row r="42" spans="2:12" ht="15" customHeight="1" x14ac:dyDescent="0.25">
      <c r="F42" s="747"/>
    </row>
    <row r="43" spans="2:12" ht="15" customHeight="1" x14ac:dyDescent="0.25">
      <c r="B43" s="746" t="s">
        <v>913</v>
      </c>
      <c r="F43" s="747"/>
    </row>
    <row r="44" spans="2:12" x14ac:dyDescent="0.25">
      <c r="F44" s="747"/>
    </row>
    <row r="45" spans="2:12" x14ac:dyDescent="0.25">
      <c r="B45" s="181" t="s">
        <v>309</v>
      </c>
      <c r="D45" s="181">
        <v>169</v>
      </c>
      <c r="F45" s="747">
        <f>F41</f>
        <v>3500</v>
      </c>
    </row>
    <row r="46" spans="2:12" x14ac:dyDescent="0.25">
      <c r="F46" s="747"/>
    </row>
    <row r="47" spans="2:12" x14ac:dyDescent="0.25">
      <c r="B47" s="769">
        <v>45658</v>
      </c>
      <c r="C47" s="181" t="s">
        <v>920</v>
      </c>
      <c r="D47" s="181">
        <v>8</v>
      </c>
      <c r="F47" s="747"/>
    </row>
    <row r="48" spans="2:12" x14ac:dyDescent="0.25">
      <c r="B48" s="769">
        <v>45659</v>
      </c>
      <c r="C48" s="181" t="s">
        <v>921</v>
      </c>
      <c r="D48" s="181">
        <v>8</v>
      </c>
      <c r="F48" s="747"/>
    </row>
    <row r="49" spans="2:6" x14ac:dyDescent="0.25">
      <c r="B49" s="769">
        <v>45660</v>
      </c>
      <c r="C49" s="181" t="s">
        <v>922</v>
      </c>
      <c r="D49" s="181">
        <v>7</v>
      </c>
      <c r="F49" s="747"/>
    </row>
    <row r="50" spans="2:6" x14ac:dyDescent="0.25">
      <c r="B50" s="769">
        <v>45661</v>
      </c>
      <c r="C50" s="181" t="s">
        <v>923</v>
      </c>
      <c r="F50" s="747"/>
    </row>
    <row r="51" spans="2:6" x14ac:dyDescent="0.25">
      <c r="B51" s="769">
        <v>45662</v>
      </c>
      <c r="C51" s="181" t="s">
        <v>924</v>
      </c>
      <c r="F51" s="747"/>
    </row>
    <row r="52" spans="2:6" x14ac:dyDescent="0.25">
      <c r="B52" s="770">
        <v>45663</v>
      </c>
      <c r="C52" s="771" t="s">
        <v>925</v>
      </c>
      <c r="D52" s="771">
        <v>8</v>
      </c>
      <c r="F52" s="747"/>
    </row>
    <row r="53" spans="2:6" x14ac:dyDescent="0.25">
      <c r="B53" s="770">
        <v>45664</v>
      </c>
      <c r="C53" s="771" t="s">
        <v>926</v>
      </c>
      <c r="D53" s="771">
        <v>8</v>
      </c>
      <c r="F53" s="747"/>
    </row>
    <row r="54" spans="2:6" x14ac:dyDescent="0.25">
      <c r="B54" s="770">
        <v>45665</v>
      </c>
      <c r="C54" s="771" t="s">
        <v>927</v>
      </c>
      <c r="D54" s="771">
        <v>8</v>
      </c>
      <c r="F54" s="747"/>
    </row>
    <row r="55" spans="2:6" x14ac:dyDescent="0.25">
      <c r="B55" s="770">
        <v>45666</v>
      </c>
      <c r="C55" s="771" t="s">
        <v>921</v>
      </c>
      <c r="D55" s="771">
        <v>8</v>
      </c>
      <c r="F55" s="747"/>
    </row>
    <row r="56" spans="2:6" x14ac:dyDescent="0.25">
      <c r="B56" s="770">
        <v>45667</v>
      </c>
      <c r="C56" s="771" t="s">
        <v>922</v>
      </c>
      <c r="D56" s="771">
        <v>7</v>
      </c>
      <c r="F56" s="747"/>
    </row>
    <row r="57" spans="2:6" x14ac:dyDescent="0.25">
      <c r="B57" s="770">
        <v>45668</v>
      </c>
      <c r="C57" s="771" t="s">
        <v>923</v>
      </c>
      <c r="D57" s="771"/>
      <c r="F57" s="747"/>
    </row>
    <row r="58" spans="2:6" x14ac:dyDescent="0.25">
      <c r="B58" s="770">
        <v>45669</v>
      </c>
      <c r="C58" s="771" t="s">
        <v>924</v>
      </c>
      <c r="D58" s="771"/>
      <c r="F58" s="747"/>
    </row>
    <row r="59" spans="2:6" x14ac:dyDescent="0.25">
      <c r="B59" s="769">
        <v>45670</v>
      </c>
      <c r="C59" s="181" t="s">
        <v>925</v>
      </c>
      <c r="D59" s="181">
        <v>8</v>
      </c>
      <c r="F59" s="747"/>
    </row>
    <row r="60" spans="2:6" x14ac:dyDescent="0.25">
      <c r="B60" s="769">
        <v>45671</v>
      </c>
      <c r="C60" s="181" t="s">
        <v>926</v>
      </c>
      <c r="D60" s="181">
        <v>8</v>
      </c>
      <c r="F60" s="747"/>
    </row>
    <row r="61" spans="2:6" x14ac:dyDescent="0.25">
      <c r="B61" s="769">
        <v>45672</v>
      </c>
      <c r="C61" s="181" t="s">
        <v>927</v>
      </c>
      <c r="D61" s="181">
        <v>8</v>
      </c>
      <c r="F61" s="747"/>
    </row>
    <row r="62" spans="2:6" x14ac:dyDescent="0.25">
      <c r="B62" s="769">
        <v>45673</v>
      </c>
      <c r="C62" s="181" t="s">
        <v>921</v>
      </c>
      <c r="D62" s="181">
        <v>8</v>
      </c>
      <c r="F62" s="747"/>
    </row>
    <row r="63" spans="2:6" x14ac:dyDescent="0.25">
      <c r="B63" s="769">
        <v>45674</v>
      </c>
      <c r="C63" s="181" t="s">
        <v>922</v>
      </c>
      <c r="D63" s="181">
        <v>7</v>
      </c>
      <c r="F63" s="747"/>
    </row>
    <row r="64" spans="2:6" x14ac:dyDescent="0.25">
      <c r="B64" s="769">
        <v>45675</v>
      </c>
      <c r="C64" s="181" t="s">
        <v>923</v>
      </c>
      <c r="F64" s="747"/>
    </row>
    <row r="65" spans="2:6" x14ac:dyDescent="0.25">
      <c r="B65" s="769">
        <v>45676</v>
      </c>
      <c r="C65" s="181" t="s">
        <v>924</v>
      </c>
      <c r="F65" s="747"/>
    </row>
    <row r="66" spans="2:6" x14ac:dyDescent="0.25">
      <c r="B66" s="769">
        <v>45677</v>
      </c>
      <c r="C66" s="181" t="s">
        <v>925</v>
      </c>
      <c r="D66" s="181">
        <v>8</v>
      </c>
      <c r="F66" s="747"/>
    </row>
    <row r="67" spans="2:6" x14ac:dyDescent="0.25">
      <c r="B67" s="769">
        <v>45678</v>
      </c>
      <c r="C67" s="181" t="s">
        <v>926</v>
      </c>
      <c r="D67" s="181">
        <v>8</v>
      </c>
      <c r="F67" s="747"/>
    </row>
    <row r="68" spans="2:6" x14ac:dyDescent="0.25">
      <c r="B68" s="769">
        <v>45679</v>
      </c>
      <c r="C68" s="181" t="s">
        <v>927</v>
      </c>
      <c r="D68" s="181">
        <v>8</v>
      </c>
      <c r="F68" s="747"/>
    </row>
    <row r="69" spans="2:6" x14ac:dyDescent="0.25">
      <c r="B69" s="769">
        <v>45680</v>
      </c>
      <c r="C69" s="181" t="s">
        <v>921</v>
      </c>
      <c r="D69" s="181">
        <v>8</v>
      </c>
      <c r="F69" s="747"/>
    </row>
    <row r="70" spans="2:6" x14ac:dyDescent="0.25">
      <c r="B70" s="769">
        <v>45681</v>
      </c>
      <c r="C70" s="181" t="s">
        <v>922</v>
      </c>
      <c r="D70" s="181">
        <v>7</v>
      </c>
      <c r="F70" s="747"/>
    </row>
    <row r="71" spans="2:6" x14ac:dyDescent="0.25">
      <c r="B71" s="769">
        <v>45682</v>
      </c>
      <c r="C71" s="181" t="s">
        <v>923</v>
      </c>
      <c r="F71" s="747"/>
    </row>
    <row r="72" spans="2:6" x14ac:dyDescent="0.25">
      <c r="B72" s="769">
        <v>45683</v>
      </c>
      <c r="C72" s="181" t="s">
        <v>924</v>
      </c>
      <c r="F72" s="747"/>
    </row>
    <row r="73" spans="2:6" x14ac:dyDescent="0.25">
      <c r="B73" s="769">
        <v>45684</v>
      </c>
      <c r="C73" s="181" t="s">
        <v>925</v>
      </c>
      <c r="D73" s="181">
        <v>8</v>
      </c>
      <c r="F73" s="747"/>
    </row>
    <row r="74" spans="2:6" x14ac:dyDescent="0.25">
      <c r="B74" s="769">
        <v>45685</v>
      </c>
      <c r="C74" s="181" t="s">
        <v>926</v>
      </c>
      <c r="D74" s="181">
        <v>8</v>
      </c>
      <c r="F74" s="747"/>
    </row>
    <row r="75" spans="2:6" x14ac:dyDescent="0.25">
      <c r="B75" s="769">
        <v>45686</v>
      </c>
      <c r="C75" s="181" t="s">
        <v>927</v>
      </c>
      <c r="D75" s="181">
        <v>8</v>
      </c>
      <c r="F75" s="747"/>
    </row>
    <row r="76" spans="2:6" x14ac:dyDescent="0.25">
      <c r="B76" s="769">
        <v>45687</v>
      </c>
      <c r="C76" s="181" t="s">
        <v>921</v>
      </c>
      <c r="D76" s="181">
        <v>8</v>
      </c>
      <c r="F76" s="747"/>
    </row>
    <row r="77" spans="2:6" x14ac:dyDescent="0.25">
      <c r="B77" s="769">
        <v>45688</v>
      </c>
      <c r="C77" s="181" t="s">
        <v>922</v>
      </c>
      <c r="D77" s="181">
        <v>7</v>
      </c>
      <c r="F77" s="747"/>
    </row>
    <row r="78" spans="2:6" x14ac:dyDescent="0.25">
      <c r="B78" s="769"/>
      <c r="D78" s="748">
        <f>SUM(D47:D77)</f>
        <v>179</v>
      </c>
      <c r="F78" s="747"/>
    </row>
  </sheetData>
  <mergeCells count="3">
    <mergeCell ref="B33:F33"/>
    <mergeCell ref="G35:H35"/>
    <mergeCell ref="B35:D35"/>
  </mergeCells>
  <phoneticPr fontId="75" type="noConversion"/>
  <printOptions horizontalCentered="1" verticalCentered="1"/>
  <pageMargins left="0.11811023622047245" right="0.11811023622047245" top="0.15748031496062992" bottom="0.15748031496062992" header="0.31496062992125984" footer="0.31496062992125984"/>
  <pageSetup paperSize="9" scale="75" orientation="landscape"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abSelected="1" topLeftCell="B7" workbookViewId="0">
      <selection activeCell="E41" sqref="E41:E50"/>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6" t="s">
        <v>310</v>
      </c>
    </row>
    <row r="3" spans="3:13" ht="12.75" customHeight="1" x14ac:dyDescent="0.25"/>
    <row r="4" spans="3:13" ht="21.75" customHeight="1" x14ac:dyDescent="0.25">
      <c r="C4" s="377" t="s">
        <v>311</v>
      </c>
      <c r="D4" s="415"/>
      <c r="E4" s="415"/>
      <c r="F4" s="415"/>
      <c r="G4" s="806" t="s">
        <v>847</v>
      </c>
      <c r="H4" s="806"/>
    </row>
    <row r="5" spans="3:13" ht="21.75" customHeight="1" x14ac:dyDescent="0.25">
      <c r="C5" s="378" t="s">
        <v>312</v>
      </c>
      <c r="G5" s="807" t="s">
        <v>849</v>
      </c>
      <c r="H5" s="807"/>
    </row>
    <row r="6" spans="3:13" ht="21.75" customHeight="1" x14ac:dyDescent="0.25">
      <c r="C6" s="378" t="s">
        <v>313</v>
      </c>
      <c r="G6" s="808">
        <v>34464426500029</v>
      </c>
      <c r="H6" s="808"/>
    </row>
    <row r="7" spans="3:13" ht="21.75" customHeight="1" x14ac:dyDescent="0.25">
      <c r="C7" s="378" t="s">
        <v>314</v>
      </c>
      <c r="G7" s="806" t="s">
        <v>878</v>
      </c>
      <c r="H7" s="806"/>
    </row>
    <row r="8" spans="3:13" ht="51.75" customHeight="1" x14ac:dyDescent="0.25">
      <c r="C8" s="378" t="s">
        <v>315</v>
      </c>
      <c r="G8" s="801" t="s">
        <v>301</v>
      </c>
      <c r="H8" s="801"/>
    </row>
    <row r="9" spans="3:13" x14ac:dyDescent="0.25">
      <c r="C9" s="379" t="s">
        <v>316</v>
      </c>
      <c r="D9" s="416"/>
      <c r="E9" s="416"/>
      <c r="F9" s="416"/>
      <c r="G9" s="805">
        <v>30</v>
      </c>
      <c r="H9" s="805"/>
    </row>
    <row r="10" spans="3:13" x14ac:dyDescent="0.25">
      <c r="C10" s="796"/>
      <c r="D10" s="796"/>
      <c r="E10" s="796"/>
      <c r="F10" s="796"/>
      <c r="G10" s="796"/>
      <c r="H10" s="796"/>
    </row>
    <row r="11" spans="3:13" ht="28.5" customHeight="1" x14ac:dyDescent="0.25">
      <c r="C11" s="380"/>
      <c r="D11" s="381"/>
      <c r="E11" s="798" t="s">
        <v>59</v>
      </c>
      <c r="F11" s="798"/>
      <c r="G11" s="382" t="s">
        <v>81</v>
      </c>
      <c r="H11" s="382" t="s">
        <v>82</v>
      </c>
    </row>
    <row r="12" spans="3:13" ht="20.25" customHeight="1" x14ac:dyDescent="0.25">
      <c r="C12" s="797" t="s">
        <v>384</v>
      </c>
      <c r="D12" s="797"/>
      <c r="E12" s="799"/>
      <c r="F12" s="800"/>
      <c r="G12" s="384"/>
      <c r="H12" s="384"/>
      <c r="I12" s="385"/>
      <c r="J12" s="385"/>
      <c r="K12" s="385"/>
      <c r="L12" s="385"/>
      <c r="M12" s="385"/>
    </row>
    <row r="13" spans="3:13" ht="20.25" customHeight="1" x14ac:dyDescent="0.25">
      <c r="C13" s="797" t="s">
        <v>385</v>
      </c>
      <c r="D13" s="797"/>
      <c r="E13" s="797"/>
      <c r="F13" s="797"/>
      <c r="G13" s="384"/>
      <c r="H13" s="384"/>
      <c r="I13" s="385"/>
      <c r="J13" s="385"/>
      <c r="K13" s="385"/>
      <c r="L13" s="385"/>
      <c r="M13" s="385"/>
    </row>
    <row r="14" spans="3:13" ht="20.25" hidden="1" customHeight="1" x14ac:dyDescent="0.25">
      <c r="C14" s="797"/>
      <c r="D14" s="797"/>
      <c r="E14" s="797"/>
      <c r="F14" s="797"/>
      <c r="G14" s="384"/>
      <c r="H14" s="384"/>
      <c r="I14" s="385"/>
      <c r="J14" s="385"/>
      <c r="K14" s="385"/>
      <c r="L14" s="385"/>
      <c r="M14" s="385"/>
    </row>
    <row r="15" spans="3:13" ht="20.25" customHeight="1" x14ac:dyDescent="0.25">
      <c r="C15" s="797" t="s">
        <v>195</v>
      </c>
      <c r="D15" s="797"/>
      <c r="E15" s="797" t="s">
        <v>317</v>
      </c>
      <c r="F15" s="797"/>
      <c r="G15" s="466">
        <v>8.0000000000000002E-3</v>
      </c>
      <c r="H15" s="466">
        <v>1.7000000000000001E-2</v>
      </c>
      <c r="I15" s="385"/>
      <c r="J15" s="385"/>
      <c r="K15" s="385"/>
      <c r="L15" s="385"/>
      <c r="M15" s="385"/>
    </row>
    <row r="16" spans="3:13" ht="20.25" customHeight="1" x14ac:dyDescent="0.25">
      <c r="C16" s="797" t="s">
        <v>318</v>
      </c>
      <c r="D16" s="797"/>
      <c r="E16" s="797" t="s">
        <v>317</v>
      </c>
      <c r="F16" s="797"/>
      <c r="G16" s="384"/>
      <c r="H16" s="384"/>
      <c r="I16" s="385"/>
      <c r="J16" s="385"/>
      <c r="K16" s="385"/>
      <c r="L16" s="385"/>
      <c r="M16" s="385"/>
    </row>
    <row r="17" spans="3:13" ht="20.25" customHeight="1" x14ac:dyDescent="0.25">
      <c r="C17" s="797" t="s">
        <v>392</v>
      </c>
      <c r="D17" s="797"/>
      <c r="E17" s="797"/>
      <c r="F17" s="797"/>
      <c r="G17" s="384"/>
      <c r="H17" s="384"/>
      <c r="I17" s="385"/>
      <c r="J17" s="385"/>
      <c r="K17" s="385"/>
      <c r="L17" s="385"/>
      <c r="M17" s="385"/>
    </row>
    <row r="18" spans="3:13" ht="20.25" customHeight="1" x14ac:dyDescent="0.25">
      <c r="C18" s="797" t="s">
        <v>386</v>
      </c>
      <c r="D18" s="797"/>
      <c r="E18" s="797" t="s">
        <v>387</v>
      </c>
      <c r="F18" s="797"/>
      <c r="G18" s="384"/>
      <c r="H18" s="384">
        <v>1.4999999999999999E-2</v>
      </c>
      <c r="I18" s="385"/>
      <c r="J18" s="385"/>
      <c r="K18" s="385"/>
      <c r="L18" s="385"/>
      <c r="M18" s="385"/>
    </row>
    <row r="19" spans="3:13" ht="20.25" hidden="1" customHeight="1" x14ac:dyDescent="0.25">
      <c r="C19" s="797"/>
      <c r="D19" s="797"/>
      <c r="E19" s="797"/>
      <c r="F19" s="797"/>
      <c r="G19" s="384"/>
      <c r="H19" s="384"/>
      <c r="I19" s="385"/>
      <c r="J19" s="385"/>
      <c r="K19" s="385"/>
      <c r="L19" s="386" t="s">
        <v>319</v>
      </c>
      <c r="M19" s="385"/>
    </row>
    <row r="20" spans="3:13" ht="20.25" hidden="1" customHeight="1" x14ac:dyDescent="0.25">
      <c r="C20" s="797"/>
      <c r="D20" s="797"/>
      <c r="E20" s="799"/>
      <c r="F20" s="800"/>
      <c r="G20" s="384"/>
      <c r="H20" s="384"/>
      <c r="I20" s="385"/>
      <c r="J20" s="385"/>
      <c r="K20" s="385"/>
      <c r="L20" s="386"/>
      <c r="M20" s="385"/>
    </row>
    <row r="21" spans="3:13" ht="20.25" customHeight="1" x14ac:dyDescent="0.25">
      <c r="C21" s="797" t="s">
        <v>320</v>
      </c>
      <c r="D21" s="797"/>
      <c r="E21" s="797" t="s">
        <v>317</v>
      </c>
      <c r="F21" s="797"/>
      <c r="G21" s="384"/>
      <c r="H21" s="466">
        <v>1.4999999999999999E-2</v>
      </c>
      <c r="I21" s="385"/>
      <c r="J21" s="385"/>
      <c r="K21" s="385"/>
      <c r="L21" s="385"/>
      <c r="M21" s="385"/>
    </row>
    <row r="22" spans="3:13" ht="20.25" customHeight="1" x14ac:dyDescent="0.25">
      <c r="C22" s="797" t="s">
        <v>321</v>
      </c>
      <c r="D22" s="797"/>
      <c r="E22" s="797" t="s">
        <v>317</v>
      </c>
      <c r="F22" s="797"/>
      <c r="G22" s="384"/>
      <c r="H22" s="466">
        <f>'[2]TABLE DES TAUX 2025'!E84</f>
        <v>3.2000000000000001E-2</v>
      </c>
      <c r="I22" s="385"/>
      <c r="J22" s="385"/>
      <c r="K22" s="385"/>
      <c r="L22" s="385"/>
      <c r="M22" s="385"/>
    </row>
    <row r="23" spans="3:13" ht="16.5" customHeight="1" x14ac:dyDescent="0.25">
      <c r="G23" s="387"/>
      <c r="H23" s="387"/>
      <c r="I23" s="385"/>
      <c r="J23" s="385"/>
      <c r="K23" s="385"/>
      <c r="L23" s="385"/>
      <c r="M23" s="385"/>
    </row>
    <row r="24" spans="3:13" x14ac:dyDescent="0.25">
      <c r="G24" s="387"/>
      <c r="H24" s="387"/>
      <c r="I24" s="385"/>
      <c r="J24" s="385"/>
      <c r="K24" s="385"/>
      <c r="L24" s="388"/>
      <c r="M24" s="385"/>
    </row>
    <row r="25" spans="3:13" x14ac:dyDescent="0.25">
      <c r="G25" s="387"/>
      <c r="H25" s="387"/>
      <c r="I25" s="385"/>
      <c r="J25" s="385"/>
      <c r="K25" s="385"/>
      <c r="L25" s="388"/>
      <c r="M25" s="385"/>
    </row>
    <row r="26" spans="3:13" x14ac:dyDescent="0.25">
      <c r="C26" s="377" t="s">
        <v>322</v>
      </c>
      <c r="D26" s="389"/>
      <c r="E26" s="375" t="s">
        <v>192</v>
      </c>
    </row>
    <row r="27" spans="3:13" x14ac:dyDescent="0.25">
      <c r="C27" s="378" t="s">
        <v>323</v>
      </c>
      <c r="D27" s="390"/>
      <c r="E27" s="48" t="s">
        <v>879</v>
      </c>
    </row>
    <row r="28" spans="3:13" x14ac:dyDescent="0.25">
      <c r="C28" s="378" t="s">
        <v>312</v>
      </c>
      <c r="D28" s="390"/>
      <c r="E28" s="737" t="s">
        <v>880</v>
      </c>
    </row>
    <row r="29" spans="3:13" x14ac:dyDescent="0.25">
      <c r="C29" s="378" t="s">
        <v>324</v>
      </c>
      <c r="D29" s="390"/>
      <c r="E29" s="48" t="s">
        <v>914</v>
      </c>
    </row>
    <row r="30" spans="3:13" x14ac:dyDescent="0.25">
      <c r="C30" s="378" t="s">
        <v>325</v>
      </c>
      <c r="D30" s="390"/>
      <c r="E30" s="48">
        <v>450</v>
      </c>
    </row>
    <row r="31" spans="3:13" x14ac:dyDescent="0.25">
      <c r="C31" s="378" t="s">
        <v>326</v>
      </c>
      <c r="D31" s="390"/>
      <c r="E31" s="383" t="s">
        <v>881</v>
      </c>
    </row>
    <row r="32" spans="3:13" x14ac:dyDescent="0.25">
      <c r="C32" s="378" t="s">
        <v>327</v>
      </c>
      <c r="D32" s="390"/>
      <c r="E32" s="465" t="s">
        <v>216</v>
      </c>
    </row>
    <row r="33" spans="3:6" x14ac:dyDescent="0.25">
      <c r="C33" s="378" t="s">
        <v>328</v>
      </c>
      <c r="D33" s="390"/>
      <c r="E33" s="465">
        <v>2</v>
      </c>
    </row>
    <row r="34" spans="3:6" x14ac:dyDescent="0.25">
      <c r="C34" s="379" t="s">
        <v>388</v>
      </c>
      <c r="D34" s="391"/>
      <c r="E34" s="48"/>
    </row>
    <row r="35" spans="3:6" hidden="1" x14ac:dyDescent="0.25"/>
    <row r="36" spans="3:6" x14ac:dyDescent="0.25">
      <c r="E36" s="385"/>
    </row>
    <row r="37" spans="3:6" ht="24" customHeight="1" x14ac:dyDescent="0.25">
      <c r="C37" s="802" t="s">
        <v>83</v>
      </c>
      <c r="D37" s="803"/>
      <c r="E37" s="375" t="s">
        <v>192</v>
      </c>
      <c r="F37" s="385"/>
    </row>
    <row r="38" spans="3:6" ht="24" customHeight="1" x14ac:dyDescent="0.25">
      <c r="C38" s="377" t="s">
        <v>329</v>
      </c>
      <c r="D38" s="389"/>
      <c r="E38" s="749">
        <v>45658</v>
      </c>
      <c r="F38" s="392"/>
    </row>
    <row r="39" spans="3:6" ht="24" customHeight="1" x14ac:dyDescent="0.25">
      <c r="C39" s="378" t="s">
        <v>330</v>
      </c>
      <c r="D39" s="390"/>
      <c r="E39" s="749">
        <v>45688</v>
      </c>
      <c r="F39" s="392"/>
    </row>
    <row r="40" spans="3:6" ht="24" customHeight="1" x14ac:dyDescent="0.25">
      <c r="C40" s="378" t="s">
        <v>331</v>
      </c>
      <c r="D40" s="390"/>
      <c r="E40" s="749">
        <v>45688</v>
      </c>
      <c r="F40" s="392"/>
    </row>
    <row r="41" spans="3:6" ht="24" customHeight="1" x14ac:dyDescent="0.25">
      <c r="C41" s="378" t="s">
        <v>309</v>
      </c>
      <c r="D41" s="390"/>
      <c r="E41" s="738"/>
      <c r="F41" s="393"/>
    </row>
    <row r="42" spans="3:6" ht="24" customHeight="1" x14ac:dyDescent="0.25">
      <c r="C42" s="378" t="s">
        <v>308</v>
      </c>
      <c r="D42" s="390"/>
      <c r="E42" s="738"/>
      <c r="F42" s="393"/>
    </row>
    <row r="43" spans="3:6" ht="24" customHeight="1" x14ac:dyDescent="0.25">
      <c r="C43" s="378" t="s">
        <v>290</v>
      </c>
      <c r="D43" s="390"/>
      <c r="E43" s="750"/>
      <c r="F43" s="393"/>
    </row>
    <row r="44" spans="3:6" ht="24" customHeight="1" x14ac:dyDescent="0.25">
      <c r="C44" s="378" t="s">
        <v>332</v>
      </c>
      <c r="D44" s="390"/>
      <c r="E44" s="738"/>
      <c r="F44" s="393"/>
    </row>
    <row r="45" spans="3:6" ht="19.5" customHeight="1" x14ac:dyDescent="0.25">
      <c r="C45" s="378" t="s">
        <v>389</v>
      </c>
      <c r="D45" s="390"/>
      <c r="E45" s="772"/>
      <c r="F45" s="393"/>
    </row>
    <row r="46" spans="3:6" ht="19.5" customHeight="1" x14ac:dyDescent="0.25">
      <c r="C46" s="378" t="s">
        <v>13</v>
      </c>
      <c r="D46" s="390"/>
      <c r="E46" s="738"/>
      <c r="F46" s="394"/>
    </row>
    <row r="47" spans="3:6" ht="19.5" customHeight="1" x14ac:dyDescent="0.25">
      <c r="C47" s="378" t="s">
        <v>333</v>
      </c>
      <c r="D47" s="390"/>
      <c r="E47" s="738"/>
      <c r="F47" s="394"/>
    </row>
    <row r="48" spans="3:6" ht="19.5" customHeight="1" x14ac:dyDescent="0.25">
      <c r="C48" s="378" t="s">
        <v>334</v>
      </c>
      <c r="D48" s="390"/>
      <c r="E48" s="738"/>
      <c r="F48" s="395"/>
    </row>
    <row r="49" spans="2:6" ht="19.5" customHeight="1" x14ac:dyDescent="0.25">
      <c r="C49" s="378" t="s">
        <v>335</v>
      </c>
      <c r="D49" s="390"/>
      <c r="E49" s="738"/>
      <c r="F49" s="395"/>
    </row>
    <row r="50" spans="2:6" ht="19.5" customHeight="1" x14ac:dyDescent="0.25">
      <c r="C50" s="378" t="s">
        <v>336</v>
      </c>
      <c r="D50" s="390"/>
      <c r="E50" s="738"/>
      <c r="F50" s="395"/>
    </row>
    <row r="51" spans="2:6" ht="19.5" customHeight="1" x14ac:dyDescent="0.25">
      <c r="C51" s="379" t="s">
        <v>390</v>
      </c>
      <c r="D51" s="391"/>
      <c r="E51" s="751"/>
      <c r="F51" s="395"/>
    </row>
    <row r="52" spans="2:6" ht="19.5" hidden="1" customHeight="1" x14ac:dyDescent="0.25">
      <c r="B52" s="376" t="s">
        <v>337</v>
      </c>
      <c r="E52" s="396">
        <v>211</v>
      </c>
    </row>
    <row r="53" spans="2:6" ht="24" hidden="1" customHeight="1" x14ac:dyDescent="0.25"/>
    <row r="54" spans="2:6" ht="24" hidden="1" customHeight="1" x14ac:dyDescent="0.25">
      <c r="C54" s="25" t="s">
        <v>338</v>
      </c>
    </row>
    <row r="55" spans="2:6" ht="24" hidden="1" customHeight="1" x14ac:dyDescent="0.25"/>
    <row r="56" spans="2:6" ht="24" hidden="1" customHeight="1" x14ac:dyDescent="0.25">
      <c r="D56" s="25" t="s">
        <v>339</v>
      </c>
    </row>
    <row r="57" spans="2:6" ht="24" hidden="1" customHeight="1" x14ac:dyDescent="0.25"/>
    <row r="58" spans="2:6" ht="24" hidden="1" customHeight="1" x14ac:dyDescent="0.25">
      <c r="D58" s="25" t="s">
        <v>340</v>
      </c>
    </row>
    <row r="59" spans="2:6" ht="24" hidden="1" customHeight="1" x14ac:dyDescent="0.25"/>
    <row r="60" spans="2:6" ht="24" hidden="1" customHeight="1" x14ac:dyDescent="0.25">
      <c r="C60" s="25" t="s">
        <v>341</v>
      </c>
    </row>
    <row r="61" spans="2:6" ht="24" hidden="1" customHeight="1" x14ac:dyDescent="0.25"/>
    <row r="62" spans="2:6" ht="24" hidden="1" customHeight="1" x14ac:dyDescent="0.25">
      <c r="D62" s="25" t="s">
        <v>342</v>
      </c>
    </row>
    <row r="63" spans="2:6" ht="24" hidden="1" customHeight="1" x14ac:dyDescent="0.25">
      <c r="D63" s="25" t="s">
        <v>343</v>
      </c>
    </row>
    <row r="64" spans="2:6" ht="24" hidden="1" customHeight="1" x14ac:dyDescent="0.25">
      <c r="D64" s="25" t="s">
        <v>344</v>
      </c>
    </row>
    <row r="65" spans="1:11" ht="24" hidden="1" customHeight="1" x14ac:dyDescent="0.25">
      <c r="D65" s="25" t="s">
        <v>345</v>
      </c>
    </row>
    <row r="66" spans="1:11" ht="24" hidden="1" customHeight="1" x14ac:dyDescent="0.25">
      <c r="D66" s="25" t="s">
        <v>346</v>
      </c>
    </row>
    <row r="67" spans="1:11" ht="24" hidden="1" customHeight="1" x14ac:dyDescent="0.25"/>
    <row r="68" spans="1:11" ht="24" hidden="1" customHeight="1" x14ac:dyDescent="0.25">
      <c r="C68" s="25" t="s">
        <v>347</v>
      </c>
    </row>
    <row r="69" spans="1:11" ht="24" hidden="1" customHeight="1" x14ac:dyDescent="0.25">
      <c r="C69" s="25" t="s">
        <v>348</v>
      </c>
    </row>
    <row r="70" spans="1:11" ht="24" hidden="1" customHeight="1" x14ac:dyDescent="0.25"/>
    <row r="71" spans="1:11" ht="24" hidden="1" customHeight="1" x14ac:dyDescent="0.25">
      <c r="D71" s="25" t="s">
        <v>349</v>
      </c>
    </row>
    <row r="72" spans="1:11" ht="24" hidden="1" customHeight="1" x14ac:dyDescent="0.25"/>
    <row r="73" spans="1:11" ht="24" hidden="1" customHeight="1" x14ac:dyDescent="0.25">
      <c r="C73" s="25" t="s">
        <v>350</v>
      </c>
    </row>
    <row r="74" spans="1:11" ht="24" hidden="1" customHeight="1" x14ac:dyDescent="0.25"/>
    <row r="75" spans="1:11" ht="24" hidden="1" customHeight="1" x14ac:dyDescent="0.25">
      <c r="E75" s="383" t="s">
        <v>59</v>
      </c>
      <c r="F75" s="383" t="s">
        <v>351</v>
      </c>
      <c r="G75" s="383" t="s">
        <v>86</v>
      </c>
      <c r="H75" s="383" t="s">
        <v>352</v>
      </c>
      <c r="I75" s="383" t="s">
        <v>80</v>
      </c>
    </row>
    <row r="76" spans="1:11" ht="24" hidden="1" customHeight="1" x14ac:dyDescent="0.25">
      <c r="B76" s="383" t="s">
        <v>353</v>
      </c>
      <c r="C76" s="801" t="s">
        <v>50</v>
      </c>
      <c r="D76" s="801"/>
      <c r="E76" s="397"/>
      <c r="F76" s="398">
        <v>6.8000000000000005E-2</v>
      </c>
      <c r="G76" s="397"/>
      <c r="H76" s="397"/>
      <c r="I76" s="397"/>
      <c r="J76" s="399"/>
      <c r="K76" s="399"/>
    </row>
    <row r="77" spans="1:11" ht="24" hidden="1" customHeight="1" x14ac:dyDescent="0.25">
      <c r="B77" s="383" t="s">
        <v>354</v>
      </c>
      <c r="C77" s="801" t="s">
        <v>51</v>
      </c>
      <c r="D77" s="801"/>
      <c r="E77" s="397"/>
      <c r="F77" s="398">
        <v>6.8000000000000005E-2</v>
      </c>
      <c r="G77" s="397"/>
      <c r="H77" s="397"/>
      <c r="I77" s="397"/>
      <c r="J77" s="399"/>
      <c r="K77" s="399"/>
    </row>
    <row r="78" spans="1:11" ht="24" hidden="1" customHeight="1" x14ac:dyDescent="0.25">
      <c r="B78" s="383" t="s">
        <v>355</v>
      </c>
      <c r="C78" s="801" t="s">
        <v>52</v>
      </c>
      <c r="D78" s="801"/>
      <c r="E78" s="397"/>
      <c r="F78" s="398">
        <v>2.9000000000000001E-2</v>
      </c>
      <c r="G78" s="397"/>
      <c r="H78" s="397"/>
      <c r="I78" s="397"/>
      <c r="J78" s="399"/>
      <c r="K78" s="399"/>
    </row>
    <row r="79" spans="1:11" ht="24" hidden="1" customHeight="1" x14ac:dyDescent="0.25">
      <c r="A79" s="804"/>
      <c r="B79" s="804"/>
      <c r="E79" s="397"/>
      <c r="F79" s="397"/>
      <c r="G79" s="397"/>
      <c r="H79" s="397"/>
      <c r="I79" s="400"/>
      <c r="J79" s="399"/>
      <c r="K79" s="399"/>
    </row>
    <row r="80" spans="1:11" ht="24" hidden="1" customHeight="1" x14ac:dyDescent="0.25">
      <c r="B80" s="383" t="s">
        <v>346</v>
      </c>
      <c r="C80" s="801" t="s">
        <v>53</v>
      </c>
      <c r="D80" s="801"/>
      <c r="E80" s="397"/>
      <c r="F80" s="401"/>
      <c r="G80" s="402"/>
      <c r="H80" s="403"/>
      <c r="I80" s="400"/>
      <c r="J80" s="399"/>
      <c r="K80" s="399"/>
    </row>
    <row r="81" spans="2:11" ht="24" hidden="1" customHeight="1" x14ac:dyDescent="0.25">
      <c r="B81" s="404"/>
      <c r="C81" s="405"/>
      <c r="D81" s="405"/>
      <c r="E81" s="406"/>
      <c r="F81" s="407"/>
      <c r="G81" s="408"/>
      <c r="H81" s="409"/>
      <c r="I81" s="410"/>
      <c r="J81" s="399"/>
      <c r="K81" s="399"/>
    </row>
    <row r="82" spans="2:11" ht="24" hidden="1" customHeight="1" x14ac:dyDescent="0.25">
      <c r="C82" s="25" t="s">
        <v>356</v>
      </c>
    </row>
    <row r="83" spans="2:11" ht="24" hidden="1" customHeight="1" x14ac:dyDescent="0.25"/>
    <row r="84" spans="2:11" ht="24" hidden="1" customHeight="1" x14ac:dyDescent="0.25">
      <c r="D84" s="25" t="s">
        <v>357</v>
      </c>
    </row>
    <row r="85" spans="2:11" ht="24" hidden="1" customHeight="1" x14ac:dyDescent="0.25"/>
    <row r="86" spans="2:11" ht="24" hidden="1" customHeight="1" x14ac:dyDescent="0.25">
      <c r="B86" s="25" t="s">
        <v>358</v>
      </c>
    </row>
    <row r="87" spans="2:11" ht="24" hidden="1" customHeight="1" x14ac:dyDescent="0.25"/>
    <row r="88" spans="2:11" ht="24" hidden="1" customHeight="1" x14ac:dyDescent="0.25">
      <c r="C88" s="25" t="s">
        <v>359</v>
      </c>
    </row>
    <row r="89" spans="2:11" ht="24" hidden="1" customHeight="1" x14ac:dyDescent="0.25"/>
    <row r="90" spans="2:11" ht="24" hidden="1" customHeight="1" x14ac:dyDescent="0.25">
      <c r="D90" s="25" t="s">
        <v>360</v>
      </c>
    </row>
    <row r="91" spans="2:11" ht="24" hidden="1" customHeight="1" x14ac:dyDescent="0.25">
      <c r="D91" s="25" t="s">
        <v>339</v>
      </c>
    </row>
    <row r="92" spans="2:11" ht="24" hidden="1" customHeight="1" x14ac:dyDescent="0.25">
      <c r="D92" s="25" t="s">
        <v>361</v>
      </c>
    </row>
    <row r="93" spans="2:11" ht="24" hidden="1" customHeight="1" x14ac:dyDescent="0.25">
      <c r="D93" s="25" t="s">
        <v>362</v>
      </c>
    </row>
    <row r="94" spans="2:11" ht="24" hidden="1" customHeight="1" x14ac:dyDescent="0.25">
      <c r="D94" s="25" t="s">
        <v>363</v>
      </c>
    </row>
    <row r="95" spans="2:11" ht="24" hidden="1" customHeight="1" x14ac:dyDescent="0.25"/>
    <row r="96" spans="2:11" ht="24" hidden="1" customHeight="1" x14ac:dyDescent="0.25">
      <c r="C96" s="25" t="s">
        <v>364</v>
      </c>
    </row>
    <row r="97" spans="2:5" ht="24" hidden="1" customHeight="1" x14ac:dyDescent="0.25"/>
    <row r="98" spans="2:5" ht="24" hidden="1" customHeight="1" x14ac:dyDescent="0.25">
      <c r="B98" s="376" t="s">
        <v>365</v>
      </c>
      <c r="C98" s="376"/>
    </row>
    <row r="99" spans="2:5" ht="24" hidden="1" customHeight="1" x14ac:dyDescent="0.25"/>
    <row r="100" spans="2:5" ht="24" hidden="1" customHeight="1" x14ac:dyDescent="0.25">
      <c r="C100" s="411" t="s">
        <v>366</v>
      </c>
    </row>
    <row r="101" spans="2:5" ht="24" hidden="1" customHeight="1" x14ac:dyDescent="0.25"/>
    <row r="102" spans="2:5" ht="24" hidden="1" customHeight="1" x14ac:dyDescent="0.25">
      <c r="C102" s="25" t="s">
        <v>367</v>
      </c>
    </row>
    <row r="103" spans="2:5" ht="24" hidden="1" customHeight="1" x14ac:dyDescent="0.25">
      <c r="C103" s="25" t="s">
        <v>368</v>
      </c>
    </row>
    <row r="104" spans="2:5" ht="24" hidden="1" customHeight="1" x14ac:dyDescent="0.25">
      <c r="C104" s="25" t="s">
        <v>369</v>
      </c>
    </row>
    <row r="105" spans="2:5" ht="24" hidden="1" customHeight="1" x14ac:dyDescent="0.25">
      <c r="C105" s="25" t="s">
        <v>370</v>
      </c>
    </row>
    <row r="106" spans="2:5" ht="24" hidden="1" customHeight="1" x14ac:dyDescent="0.25">
      <c r="C106" s="25" t="s">
        <v>371</v>
      </c>
    </row>
    <row r="107" spans="2:5" ht="24" hidden="1" customHeight="1" x14ac:dyDescent="0.25"/>
    <row r="108" spans="2:5" ht="24" hidden="1" customHeight="1" x14ac:dyDescent="0.25"/>
    <row r="109" spans="2:5" ht="24" hidden="1" customHeight="1" x14ac:dyDescent="0.25">
      <c r="B109" s="376" t="s">
        <v>372</v>
      </c>
    </row>
    <row r="110" spans="2:5" ht="24" hidden="1" customHeight="1" x14ac:dyDescent="0.25"/>
    <row r="111" spans="2:5" ht="24" hidden="1" customHeight="1" x14ac:dyDescent="0.25">
      <c r="C111" s="25" t="s">
        <v>373</v>
      </c>
    </row>
    <row r="112" spans="2:5" ht="24" hidden="1" customHeight="1" x14ac:dyDescent="0.25">
      <c r="D112" s="25" t="s">
        <v>374</v>
      </c>
      <c r="E112" s="412">
        <v>2332</v>
      </c>
    </row>
    <row r="113" spans="3:6" ht="24" hidden="1" customHeight="1" x14ac:dyDescent="0.25">
      <c r="D113" s="25" t="s">
        <v>375</v>
      </c>
      <c r="E113" s="412">
        <v>3062</v>
      </c>
    </row>
    <row r="114" spans="3:6" ht="24" hidden="1" customHeight="1" x14ac:dyDescent="0.25"/>
    <row r="115" spans="3:6" ht="24" hidden="1" customHeight="1" x14ac:dyDescent="0.25">
      <c r="C115" s="25" t="s">
        <v>376</v>
      </c>
      <c r="D115" s="25">
        <v>8.3000000000000007</v>
      </c>
    </row>
    <row r="116" spans="3:6" ht="24" hidden="1" customHeight="1" x14ac:dyDescent="0.25">
      <c r="D116" s="25" t="s">
        <v>377</v>
      </c>
    </row>
    <row r="117" spans="3:6" ht="24" hidden="1" customHeight="1" x14ac:dyDescent="0.25">
      <c r="D117" s="25" t="s">
        <v>378</v>
      </c>
      <c r="E117" s="412">
        <f>E30</f>
        <v>450</v>
      </c>
      <c r="F117" s="25">
        <f>E117*D115</f>
        <v>3735.0000000000005</v>
      </c>
    </row>
    <row r="118" spans="3:6" ht="24" hidden="1" customHeight="1" x14ac:dyDescent="0.25">
      <c r="D118" s="25" t="s">
        <v>379</v>
      </c>
      <c r="E118" s="412" t="e">
        <f>#REF!</f>
        <v>#REF!</v>
      </c>
      <c r="F118" s="25" t="e">
        <f>D115*E118</f>
        <v>#REF!</v>
      </c>
    </row>
    <row r="119" spans="3:6" ht="24" hidden="1" customHeight="1" x14ac:dyDescent="0.25"/>
    <row r="120" spans="3:6" ht="24" hidden="1" customHeight="1" x14ac:dyDescent="0.25">
      <c r="E120" s="25" t="s">
        <v>380</v>
      </c>
    </row>
    <row r="121" spans="3:6" ht="24" hidden="1" customHeight="1" x14ac:dyDescent="0.25"/>
    <row r="122" spans="3:6" ht="15.75" hidden="1" customHeight="1" x14ac:dyDescent="0.25"/>
  </sheetData>
  <mergeCells count="36">
    <mergeCell ref="G9:H9"/>
    <mergeCell ref="G4:H4"/>
    <mergeCell ref="G5:H5"/>
    <mergeCell ref="G6:H6"/>
    <mergeCell ref="G7:H7"/>
    <mergeCell ref="G8:H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57" zoomScale="120" zoomScaleNormal="120" workbookViewId="0">
      <selection activeCell="B11" sqref="B11:D11"/>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893" t="s">
        <v>226</v>
      </c>
      <c r="B1" s="893"/>
      <c r="C1" s="893"/>
      <c r="D1" s="893"/>
      <c r="E1" s="893"/>
      <c r="F1" s="893"/>
      <c r="G1" s="893"/>
      <c r="H1" s="894"/>
      <c r="I1" s="894"/>
      <c r="J1" s="894"/>
    </row>
    <row r="2" spans="1:10" s="24" customFormat="1" ht="15.75" customHeight="1" x14ac:dyDescent="0.3">
      <c r="A2" s="895" t="s">
        <v>0</v>
      </c>
      <c r="B2" s="896"/>
      <c r="C2" s="896"/>
      <c r="D2" s="897"/>
      <c r="E2" s="296"/>
      <c r="F2" s="898" t="s">
        <v>1</v>
      </c>
      <c r="G2" s="899"/>
      <c r="H2" s="899"/>
      <c r="I2" s="899"/>
      <c r="J2" s="900"/>
    </row>
    <row r="3" spans="1:10" s="24" customFormat="1" ht="15.75" customHeight="1" x14ac:dyDescent="0.3">
      <c r="A3" s="297" t="s">
        <v>2</v>
      </c>
      <c r="B3" s="901" t="str">
        <f>'MASQUE DE SAISIE '!G4</f>
        <v xml:space="preserve">ATGR </v>
      </c>
      <c r="C3" s="902"/>
      <c r="D3" s="903"/>
      <c r="E3" s="298"/>
      <c r="F3" s="299" t="s">
        <v>2</v>
      </c>
      <c r="G3" s="888" t="str">
        <f>'MASQUE DE SAISIE '!E26</f>
        <v xml:space="preserve">MARTINO </v>
      </c>
      <c r="H3" s="888"/>
      <c r="I3" s="888"/>
      <c r="J3" s="888"/>
    </row>
    <row r="4" spans="1:10" s="24" customFormat="1" ht="15.75" customHeight="1" x14ac:dyDescent="0.3">
      <c r="A4" s="297" t="s">
        <v>3</v>
      </c>
      <c r="B4" s="901" t="str">
        <f>'MASQUE DE SAISIE '!G5</f>
        <v xml:space="preserve">3 Rue Paul Vaillant Couturier 92300 Levallois-Perret </v>
      </c>
      <c r="C4" s="902"/>
      <c r="D4" s="903"/>
      <c r="E4" s="298"/>
      <c r="F4" s="299" t="s">
        <v>4</v>
      </c>
      <c r="G4" s="888" t="str">
        <f>'MASQUE DE SAISIE '!E27</f>
        <v xml:space="preserve">Hervé </v>
      </c>
      <c r="H4" s="888"/>
      <c r="I4" s="888"/>
      <c r="J4" s="888"/>
    </row>
    <row r="5" spans="1:10" s="24" customFormat="1" ht="15.75" customHeight="1" x14ac:dyDescent="0.3">
      <c r="A5" s="297"/>
      <c r="B5" s="885"/>
      <c r="C5" s="886"/>
      <c r="D5" s="887"/>
      <c r="E5" s="298"/>
      <c r="F5" s="299" t="s">
        <v>5</v>
      </c>
      <c r="G5" s="888" t="str">
        <f>'MASQUE DE SAISIE '!E29</f>
        <v>Responsable Paie</v>
      </c>
      <c r="H5" s="888"/>
      <c r="I5" s="888"/>
      <c r="J5" s="888"/>
    </row>
    <row r="6" spans="1:10" s="24" customFormat="1" ht="15.75" customHeight="1" x14ac:dyDescent="0.3">
      <c r="A6" s="297" t="s">
        <v>6</v>
      </c>
      <c r="B6" s="889">
        <f>'MASQUE DE SAISIE '!G6</f>
        <v>34464426500029</v>
      </c>
      <c r="C6" s="890"/>
      <c r="D6" s="891"/>
      <c r="E6" s="300"/>
      <c r="F6" s="299" t="s">
        <v>7</v>
      </c>
      <c r="G6" s="888">
        <f>'MASQUE DE SAISIE '!E30</f>
        <v>450</v>
      </c>
      <c r="H6" s="888"/>
      <c r="I6" s="888"/>
      <c r="J6" s="888"/>
    </row>
    <row r="7" spans="1:10" s="24" customFormat="1" ht="15.75" customHeight="1" x14ac:dyDescent="0.3">
      <c r="A7" s="297" t="s">
        <v>8</v>
      </c>
      <c r="B7" s="885" t="str">
        <f>'MASQUE DE SAISIE '!G7</f>
        <v xml:space="preserve">7111C </v>
      </c>
      <c r="C7" s="886"/>
      <c r="D7" s="887"/>
      <c r="E7" s="298"/>
      <c r="F7" s="299" t="s">
        <v>9</v>
      </c>
      <c r="G7" s="892" t="str">
        <f>'MASQUE DE SAISIE '!E31</f>
        <v>1.63.11.59.52.55.</v>
      </c>
      <c r="H7" s="892"/>
      <c r="I7" s="892"/>
      <c r="J7" s="892"/>
    </row>
    <row r="8" spans="1:10" s="24" customFormat="1" ht="15.75" customHeight="1" x14ac:dyDescent="0.3">
      <c r="A8" s="297" t="s">
        <v>10</v>
      </c>
      <c r="B8" s="889"/>
      <c r="C8" s="890"/>
      <c r="D8" s="891"/>
      <c r="E8" s="300"/>
      <c r="F8" s="301" t="s">
        <v>3</v>
      </c>
      <c r="G8" s="888" t="str">
        <f>'MASQUE DE SAISIE '!E28</f>
        <v xml:space="preserve">3 Rue Paul  92700 Colombes </v>
      </c>
      <c r="H8" s="888"/>
      <c r="I8" s="888"/>
      <c r="J8" s="888"/>
    </row>
    <row r="9" spans="1:10" s="24" customFormat="1" ht="15.75" customHeight="1" x14ac:dyDescent="0.3">
      <c r="A9" s="297" t="s">
        <v>11</v>
      </c>
      <c r="B9" s="302">
        <f>'MASQUE DE SAISIE '!G9</f>
        <v>30</v>
      </c>
      <c r="C9" s="904" t="str">
        <f>IF('MASQUE DE SAISIE '!E34 = "","",'MASQUE DE SAISIE '!E34 )</f>
        <v/>
      </c>
      <c r="D9" s="887"/>
      <c r="E9" s="298"/>
      <c r="F9" s="905" t="s">
        <v>12</v>
      </c>
      <c r="G9" s="906"/>
      <c r="H9" s="303"/>
      <c r="I9" s="304">
        <f>'MASQUE DE SAISIE '!E33</f>
        <v>2</v>
      </c>
      <c r="J9" s="304" t="str">
        <f>'MASQUE DE SAISIE '!E32</f>
        <v>C</v>
      </c>
    </row>
    <row r="10" spans="1:10" s="24" customFormat="1" ht="15.75" customHeight="1" x14ac:dyDescent="0.3">
      <c r="A10" s="306" t="s">
        <v>13</v>
      </c>
      <c r="B10" s="307">
        <f>'MASQUE DE SAISIE '!E46</f>
        <v>0</v>
      </c>
      <c r="C10" s="304" t="s">
        <v>14</v>
      </c>
      <c r="D10" s="414">
        <f>'MASQUE DE SAISIE '!E43</f>
        <v>0</v>
      </c>
      <c r="E10" s="298"/>
      <c r="F10" s="885" t="s">
        <v>227</v>
      </c>
      <c r="G10" s="887"/>
      <c r="H10" s="356">
        <f>'MASQUE DE SAISIE '!E38</f>
        <v>45658</v>
      </c>
      <c r="I10" s="308" t="s">
        <v>15</v>
      </c>
      <c r="J10" s="356">
        <f>'MASQUE DE SAISIE '!E39</f>
        <v>45688</v>
      </c>
    </row>
    <row r="11" spans="1:10" s="24" customFormat="1" ht="33.75" customHeight="1" x14ac:dyDescent="0.3">
      <c r="A11" s="309"/>
      <c r="B11" s="878" t="s">
        <v>301</v>
      </c>
      <c r="C11" s="879"/>
      <c r="D11" s="880"/>
      <c r="E11" s="310"/>
      <c r="F11" s="309" t="s">
        <v>16</v>
      </c>
      <c r="G11" s="361">
        <f>'MASQUE DE SAISIE '!E39</f>
        <v>45688</v>
      </c>
      <c r="H11" s="61"/>
      <c r="I11" s="61"/>
      <c r="J11" s="362"/>
    </row>
    <row r="12" spans="1:10" s="24" customFormat="1" ht="15.75" customHeight="1" x14ac:dyDescent="0.3">
      <c r="A12" s="881"/>
      <c r="B12" s="882"/>
      <c r="C12" s="882"/>
      <c r="D12" s="882"/>
      <c r="E12" s="882"/>
      <c r="F12" s="882"/>
      <c r="G12" s="882"/>
      <c r="H12" s="882"/>
      <c r="I12" s="882"/>
      <c r="J12" s="882"/>
    </row>
    <row r="13" spans="1:10" s="24" customFormat="1" ht="17.25" customHeight="1" x14ac:dyDescent="0.3">
      <c r="A13" s="870" t="s">
        <v>17</v>
      </c>
      <c r="B13" s="871"/>
      <c r="C13" s="871"/>
      <c r="D13" s="871"/>
      <c r="E13" s="871"/>
      <c r="F13" s="872"/>
      <c r="G13" s="752" t="e">
        <f>'ENONCE '!#REF!</f>
        <v>#REF!</v>
      </c>
      <c r="H13" s="753" t="s">
        <v>18</v>
      </c>
      <c r="I13" s="754" t="e">
        <f>ROUND(J13/G13,2)</f>
        <v>#REF!</v>
      </c>
      <c r="J13" s="755" t="e">
        <f>'ENONCE '!#REF!</f>
        <v>#REF!</v>
      </c>
    </row>
    <row r="14" spans="1:10" s="24" customFormat="1" ht="17.25" hidden="1" customHeight="1" x14ac:dyDescent="0.3">
      <c r="A14" s="870" t="s">
        <v>228</v>
      </c>
      <c r="B14" s="871"/>
      <c r="C14" s="871"/>
      <c r="D14" s="871"/>
      <c r="E14" s="871"/>
      <c r="F14" s="872"/>
      <c r="G14" s="753"/>
      <c r="H14" s="753"/>
      <c r="I14" s="754"/>
      <c r="J14" s="755"/>
    </row>
    <row r="15" spans="1:10" s="24" customFormat="1" ht="17.25" hidden="1" customHeight="1" x14ac:dyDescent="0.3">
      <c r="A15" s="870" t="s">
        <v>915</v>
      </c>
      <c r="B15" s="871"/>
      <c r="C15" s="871"/>
      <c r="D15" s="871"/>
      <c r="E15" s="871"/>
      <c r="F15" s="872"/>
      <c r="G15" s="756"/>
      <c r="H15" s="757"/>
      <c r="I15" s="754"/>
      <c r="J15" s="755"/>
    </row>
    <row r="16" spans="1:10" s="24" customFormat="1" ht="17.25" hidden="1" customHeight="1" x14ac:dyDescent="0.3">
      <c r="A16" s="870" t="s">
        <v>861</v>
      </c>
      <c r="B16" s="871"/>
      <c r="C16" s="871"/>
      <c r="D16" s="871"/>
      <c r="E16" s="871"/>
      <c r="F16" s="872"/>
      <c r="G16" s="756"/>
      <c r="H16" s="757"/>
      <c r="I16" s="754"/>
      <c r="J16" s="755"/>
    </row>
    <row r="17" spans="1:10" s="24" customFormat="1" ht="17.25" hidden="1" customHeight="1" x14ac:dyDescent="0.3">
      <c r="A17" s="870" t="s">
        <v>19</v>
      </c>
      <c r="B17" s="871"/>
      <c r="C17" s="871"/>
      <c r="D17" s="871"/>
      <c r="E17" s="871"/>
      <c r="F17" s="872"/>
      <c r="G17" s="756"/>
      <c r="H17" s="757" t="s">
        <v>18</v>
      </c>
      <c r="I17" s="754"/>
      <c r="J17" s="755"/>
    </row>
    <row r="18" spans="1:10" s="24" customFormat="1" ht="17.25" hidden="1" customHeight="1" x14ac:dyDescent="0.3">
      <c r="A18" s="870" t="s">
        <v>229</v>
      </c>
      <c r="B18" s="871"/>
      <c r="C18" s="871"/>
      <c r="D18" s="871"/>
      <c r="E18" s="871"/>
      <c r="F18" s="872"/>
      <c r="G18" s="756"/>
      <c r="H18" s="757" t="s">
        <v>18</v>
      </c>
      <c r="I18" s="754"/>
      <c r="J18" s="755">
        <f t="shared" ref="J18:J22" si="0">ROUND(G18*I18,2)</f>
        <v>0</v>
      </c>
    </row>
    <row r="19" spans="1:10" s="24" customFormat="1" ht="17.25" hidden="1" customHeight="1" x14ac:dyDescent="0.3">
      <c r="A19" s="870" t="s">
        <v>230</v>
      </c>
      <c r="B19" s="871"/>
      <c r="C19" s="871"/>
      <c r="D19" s="871"/>
      <c r="E19" s="871"/>
      <c r="F19" s="872"/>
      <c r="G19" s="756"/>
      <c r="H19" s="757" t="s">
        <v>18</v>
      </c>
      <c r="I19" s="758" t="e">
        <f>ROUND((J13+J14+J16+J17)*1.25/G13,2)</f>
        <v>#REF!</v>
      </c>
      <c r="J19" s="755" t="e">
        <f t="shared" si="0"/>
        <v>#REF!</v>
      </c>
    </row>
    <row r="20" spans="1:10" s="24" customFormat="1" ht="17.25" customHeight="1" x14ac:dyDescent="0.3">
      <c r="A20" s="870" t="s">
        <v>231</v>
      </c>
      <c r="B20" s="871"/>
      <c r="C20" s="871"/>
      <c r="D20" s="871"/>
      <c r="E20" s="871"/>
      <c r="F20" s="872"/>
      <c r="G20" s="756" t="e">
        <f>'ENONCE '!#REF!</f>
        <v>#REF!</v>
      </c>
      <c r="H20" s="757" t="s">
        <v>18</v>
      </c>
      <c r="I20" s="758" t="e">
        <f>'ENONCE '!#REF!</f>
        <v>#REF!</v>
      </c>
      <c r="J20" s="755" t="e">
        <f>'ENONCE '!#REF!</f>
        <v>#REF!</v>
      </c>
    </row>
    <row r="21" spans="1:10" s="24" customFormat="1" ht="17.25" customHeight="1" x14ac:dyDescent="0.3">
      <c r="A21" s="870" t="s">
        <v>916</v>
      </c>
      <c r="B21" s="871"/>
      <c r="C21" s="871"/>
      <c r="D21" s="871"/>
      <c r="E21" s="871"/>
      <c r="F21" s="872"/>
      <c r="G21" s="759" t="e">
        <f>'ENONCE '!#REF!</f>
        <v>#REF!</v>
      </c>
      <c r="H21" s="760"/>
      <c r="I21" s="761" t="e">
        <f>I20</f>
        <v>#REF!</v>
      </c>
      <c r="J21" s="755" t="e">
        <f t="shared" si="0"/>
        <v>#REF!</v>
      </c>
    </row>
    <row r="22" spans="1:10" s="24" customFormat="1" ht="17.25" hidden="1" customHeight="1" x14ac:dyDescent="0.3">
      <c r="A22" s="870" t="s">
        <v>917</v>
      </c>
      <c r="B22" s="871"/>
      <c r="C22" s="871"/>
      <c r="D22" s="871"/>
      <c r="E22" s="871"/>
      <c r="F22" s="872"/>
      <c r="G22" s="753"/>
      <c r="H22" s="757" t="s">
        <v>18</v>
      </c>
      <c r="I22" s="754" t="e">
        <f>+I21</f>
        <v>#REF!</v>
      </c>
      <c r="J22" s="755" t="e">
        <f t="shared" si="0"/>
        <v>#REF!</v>
      </c>
    </row>
    <row r="23" spans="1:10" s="24" customFormat="1" ht="17.25" customHeight="1" x14ac:dyDescent="0.3">
      <c r="A23" s="870" t="s">
        <v>918</v>
      </c>
      <c r="B23" s="871"/>
      <c r="C23" s="871"/>
      <c r="D23" s="871"/>
      <c r="E23" s="871"/>
      <c r="F23" s="872"/>
      <c r="G23" s="762"/>
      <c r="H23" s="763"/>
      <c r="I23" s="764"/>
      <c r="J23" s="765" t="e">
        <f>'ENONCE '!#REF!</f>
        <v>#REF!</v>
      </c>
    </row>
    <row r="24" spans="1:10" s="24" customFormat="1" ht="19.149999999999999" hidden="1" customHeight="1" x14ac:dyDescent="0.3">
      <c r="A24" s="870" t="s">
        <v>21</v>
      </c>
      <c r="B24" s="871"/>
      <c r="C24" s="871"/>
      <c r="D24" s="871"/>
      <c r="E24" s="871"/>
      <c r="F24" s="872"/>
      <c r="G24" s="311"/>
      <c r="H24" s="317"/>
      <c r="I24" s="305"/>
      <c r="J24" s="318"/>
    </row>
    <row r="25" spans="1:10" s="24" customFormat="1" ht="19.149999999999999" hidden="1" customHeight="1" x14ac:dyDescent="0.3">
      <c r="A25" s="870" t="s">
        <v>22</v>
      </c>
      <c r="B25" s="871"/>
      <c r="C25" s="871"/>
      <c r="D25" s="871"/>
      <c r="E25" s="871"/>
      <c r="F25" s="872"/>
      <c r="G25" s="311"/>
      <c r="H25" s="317"/>
      <c r="I25" s="305"/>
      <c r="J25" s="318"/>
    </row>
    <row r="26" spans="1:10" s="24" customFormat="1" ht="19.149999999999999" hidden="1" customHeight="1" x14ac:dyDescent="0.3">
      <c r="A26" s="870" t="s">
        <v>23</v>
      </c>
      <c r="B26" s="871"/>
      <c r="C26" s="871"/>
      <c r="D26" s="871"/>
      <c r="E26" s="871"/>
      <c r="F26" s="872"/>
      <c r="G26" s="311"/>
      <c r="H26" s="317"/>
      <c r="I26" s="305"/>
      <c r="J26" s="318"/>
    </row>
    <row r="27" spans="1:10" s="24" customFormat="1" ht="19.149999999999999" hidden="1" customHeight="1" x14ac:dyDescent="0.3">
      <c r="A27" s="870" t="s">
        <v>24</v>
      </c>
      <c r="B27" s="871"/>
      <c r="C27" s="871"/>
      <c r="D27" s="871"/>
      <c r="E27" s="871"/>
      <c r="F27" s="872"/>
      <c r="G27" s="311"/>
      <c r="H27" s="317"/>
      <c r="I27" s="305"/>
      <c r="J27" s="318"/>
    </row>
    <row r="28" spans="1:10" s="24" customFormat="1" ht="19.149999999999999" hidden="1" customHeight="1" x14ac:dyDescent="0.3">
      <c r="A28" s="870" t="s">
        <v>25</v>
      </c>
      <c r="B28" s="871"/>
      <c r="C28" s="871"/>
      <c r="D28" s="871"/>
      <c r="E28" s="871"/>
      <c r="F28" s="872"/>
      <c r="G28" s="311"/>
      <c r="H28" s="317"/>
      <c r="I28" s="305"/>
      <c r="J28" s="318"/>
    </row>
    <row r="29" spans="1:10" s="24" customFormat="1" ht="19.149999999999999" hidden="1" customHeight="1" x14ac:dyDescent="0.3">
      <c r="A29" s="870" t="s">
        <v>26</v>
      </c>
      <c r="B29" s="871"/>
      <c r="C29" s="871"/>
      <c r="D29" s="871"/>
      <c r="E29" s="871"/>
      <c r="F29" s="872"/>
      <c r="G29" s="311"/>
      <c r="H29" s="317"/>
      <c r="I29" s="305"/>
      <c r="J29" s="318"/>
    </row>
    <row r="30" spans="1:10" s="24" customFormat="1" ht="19.149999999999999" hidden="1" customHeight="1" x14ac:dyDescent="0.3">
      <c r="A30" s="870" t="s">
        <v>27</v>
      </c>
      <c r="B30" s="871"/>
      <c r="C30" s="871"/>
      <c r="D30" s="871"/>
      <c r="E30" s="871"/>
      <c r="F30" s="872"/>
      <c r="G30" s="311"/>
      <c r="H30" s="317"/>
      <c r="I30" s="305"/>
      <c r="J30" s="318"/>
    </row>
    <row r="31" spans="1:10" s="24" customFormat="1" ht="19.149999999999999" hidden="1" customHeight="1" x14ac:dyDescent="0.3">
      <c r="A31" s="870" t="s">
        <v>28</v>
      </c>
      <c r="B31" s="871"/>
      <c r="C31" s="871"/>
      <c r="D31" s="871"/>
      <c r="E31" s="871"/>
      <c r="F31" s="872"/>
      <c r="G31" s="311"/>
      <c r="H31" s="317"/>
      <c r="I31" s="305"/>
      <c r="J31" s="318"/>
    </row>
    <row r="32" spans="1:10" s="24" customFormat="1" ht="19.149999999999999" hidden="1" customHeight="1" x14ac:dyDescent="0.3">
      <c r="A32" s="870"/>
      <c r="B32" s="871"/>
      <c r="C32" s="871"/>
      <c r="D32" s="871"/>
      <c r="E32" s="871"/>
      <c r="F32" s="872"/>
      <c r="G32" s="311"/>
      <c r="H32" s="317"/>
      <c r="I32" s="305"/>
      <c r="J32" s="318"/>
    </row>
    <row r="33" spans="1:16" s="24" customFormat="1" ht="19.149999999999999" customHeight="1" x14ac:dyDescent="0.3">
      <c r="A33" s="873" t="s">
        <v>29</v>
      </c>
      <c r="B33" s="874"/>
      <c r="C33" s="319">
        <f>'[3]MASQUE DE SAISIE '!E44</f>
        <v>3925</v>
      </c>
      <c r="D33" s="875" t="s">
        <v>30</v>
      </c>
      <c r="E33" s="875"/>
      <c r="F33" s="875"/>
      <c r="G33" s="875"/>
      <c r="H33" s="875"/>
      <c r="I33" s="875"/>
      <c r="J33" s="766" t="e">
        <f>SUM(J13:J32)</f>
        <v>#REF!</v>
      </c>
    </row>
    <row r="34" spans="1:16" s="20" customFormat="1" ht="24" customHeight="1" x14ac:dyDescent="0.2">
      <c r="A34" s="876" t="s">
        <v>31</v>
      </c>
      <c r="B34" s="876"/>
      <c r="C34" s="54" t="s">
        <v>32</v>
      </c>
      <c r="D34" s="363" t="s">
        <v>33</v>
      </c>
      <c r="E34" s="363" t="s">
        <v>34</v>
      </c>
      <c r="F34" s="364" t="s">
        <v>35</v>
      </c>
      <c r="G34" s="364" t="s">
        <v>36</v>
      </c>
      <c r="I34" s="21"/>
      <c r="J34" s="21"/>
      <c r="K34" s="22"/>
    </row>
    <row r="35" spans="1:16" ht="12" customHeight="1" x14ac:dyDescent="0.25">
      <c r="A35" s="877" t="s">
        <v>37</v>
      </c>
      <c r="B35" s="877"/>
      <c r="C35" s="1"/>
      <c r="D35" s="3"/>
      <c r="E35" s="3"/>
      <c r="F35" s="1"/>
      <c r="G35" s="1"/>
    </row>
    <row r="36" spans="1:16" ht="18.600000000000001" customHeight="1" x14ac:dyDescent="0.25">
      <c r="A36" s="852" t="s">
        <v>79</v>
      </c>
      <c r="B36" s="852"/>
      <c r="C36" s="13" t="e">
        <f>J33</f>
        <v>#REF!</v>
      </c>
      <c r="D36" s="33"/>
      <c r="E36" s="34">
        <f t="shared" ref="E36:E37" si="1" xml:space="preserve"> VLOOKUP(A36,TAUX2023,4,FALSE)</f>
        <v>7.0000000000000007E-2</v>
      </c>
      <c r="F36" s="40" t="e">
        <f>ROUND(C36*D36,2)</f>
        <v>#REF!</v>
      </c>
      <c r="G36" s="40" t="e">
        <f>ROUND(C36*E36,2)</f>
        <v>#REF!</v>
      </c>
      <c r="H36" s="527"/>
      <c r="I36" s="527"/>
      <c r="J36" s="2"/>
      <c r="O36" s="865"/>
      <c r="P36" s="865"/>
    </row>
    <row r="37" spans="1:16" ht="16.899999999999999" customHeight="1" x14ac:dyDescent="0.25">
      <c r="A37" s="852" t="s">
        <v>199</v>
      </c>
      <c r="B37" s="852"/>
      <c r="C37" s="39" t="e">
        <f>IF(J33&gt;2.25*B10*'TABLE DES TAUX 2025 '!C52,J33,0)</f>
        <v>#REF!</v>
      </c>
      <c r="D37" s="163"/>
      <c r="E37" s="34">
        <f t="shared" si="1"/>
        <v>0.06</v>
      </c>
      <c r="F37" s="40" t="e">
        <f t="shared" ref="F37:F67" si="2">ROUND(C37*D37,2)</f>
        <v>#REF!</v>
      </c>
      <c r="G37" s="13" t="e">
        <f t="shared" ref="G37:G70" si="3">ROUND(C37*E37,2)</f>
        <v>#REF!</v>
      </c>
      <c r="H37" s="527"/>
      <c r="I37" s="527"/>
      <c r="O37" s="865"/>
      <c r="P37" s="865"/>
    </row>
    <row r="38" spans="1:16" ht="16.899999999999999" customHeight="1" x14ac:dyDescent="0.3">
      <c r="A38" s="866" t="s">
        <v>195</v>
      </c>
      <c r="B38" s="867"/>
      <c r="C38" s="13" t="e">
        <f>IF(I9=2,J33,0)</f>
        <v>#REF!</v>
      </c>
      <c r="D38" s="33">
        <f>'MASQUE DE SAISIE '!G15</f>
        <v>8.0000000000000002E-3</v>
      </c>
      <c r="E38" s="33">
        <f>'MASQUE DE SAISIE '!H15</f>
        <v>1.7000000000000001E-2</v>
      </c>
      <c r="F38" s="40" t="e">
        <f t="shared" si="2"/>
        <v>#REF!</v>
      </c>
      <c r="G38" s="13" t="e">
        <f t="shared" si="3"/>
        <v>#REF!</v>
      </c>
      <c r="H38" s="24"/>
      <c r="I38" s="2"/>
      <c r="O38" s="865"/>
      <c r="P38" s="865"/>
    </row>
    <row r="39" spans="1:16" ht="30.6" hidden="1" customHeight="1" x14ac:dyDescent="0.3">
      <c r="A39" s="866" t="s">
        <v>243</v>
      </c>
      <c r="B39" s="867"/>
      <c r="C39" s="40">
        <f>IF(I9=2,0,J33)</f>
        <v>0</v>
      </c>
      <c r="D39" s="33">
        <f>'MASQUE DE SAISIE '!G12</f>
        <v>0</v>
      </c>
      <c r="E39" s="33">
        <f>'MASQUE DE SAISIE '!H12</f>
        <v>0</v>
      </c>
      <c r="F39" s="40">
        <f t="shared" si="2"/>
        <v>0</v>
      </c>
      <c r="G39" s="13">
        <f t="shared" si="3"/>
        <v>0</v>
      </c>
      <c r="H39" s="24"/>
      <c r="I39" s="2"/>
      <c r="O39" s="865"/>
      <c r="P39" s="865"/>
    </row>
    <row r="40" spans="1:16" ht="30.6" hidden="1" customHeight="1" x14ac:dyDescent="0.3">
      <c r="A40" s="866" t="s">
        <v>247</v>
      </c>
      <c r="B40" s="867"/>
      <c r="C40" s="40">
        <f>C39</f>
        <v>0</v>
      </c>
      <c r="D40" s="33">
        <f>'MASQUE DE SAISIE '!G13</f>
        <v>0</v>
      </c>
      <c r="E40" s="33">
        <f>'MASQUE DE SAISIE '!H13</f>
        <v>0</v>
      </c>
      <c r="F40" s="40">
        <f t="shared" si="2"/>
        <v>0</v>
      </c>
      <c r="G40" s="13">
        <f t="shared" si="3"/>
        <v>0</v>
      </c>
      <c r="H40" s="24"/>
      <c r="I40" s="2"/>
      <c r="O40" s="865"/>
      <c r="P40" s="865"/>
    </row>
    <row r="41" spans="1:16" ht="30.6" hidden="1" customHeight="1" x14ac:dyDescent="0.3">
      <c r="A41" s="866" t="s">
        <v>248</v>
      </c>
      <c r="B41" s="867"/>
      <c r="C41" s="13" t="e">
        <f>C38</f>
        <v>#REF!</v>
      </c>
      <c r="D41" s="33">
        <f>'MASQUE DE SAISIE '!G16</f>
        <v>0</v>
      </c>
      <c r="E41" s="33">
        <f>+'MASQUE DE SAISIE '!H16</f>
        <v>0</v>
      </c>
      <c r="F41" s="40" t="e">
        <f t="shared" si="2"/>
        <v>#REF!</v>
      </c>
      <c r="G41" s="13" t="e">
        <f t="shared" si="3"/>
        <v>#REF!</v>
      </c>
      <c r="H41" s="523"/>
      <c r="I41" s="24"/>
      <c r="J41" s="42"/>
      <c r="O41" s="865"/>
      <c r="P41" s="865"/>
    </row>
    <row r="42" spans="1:16" ht="23.45" customHeight="1" x14ac:dyDescent="0.3">
      <c r="A42" s="852" t="s">
        <v>200</v>
      </c>
      <c r="B42" s="852"/>
      <c r="C42" s="40" t="e">
        <f>IF(I9=2,IF(E41=0,IF(J33&gt;C33,C33,J33),0),0)</f>
        <v>#REF!</v>
      </c>
      <c r="D42" s="33"/>
      <c r="E42" s="34">
        <f>'MASQUE DE SAISIE '!H18</f>
        <v>1.4999999999999999E-2</v>
      </c>
      <c r="F42" s="40" t="e">
        <f>ROUND(C42*D42,2)</f>
        <v>#REF!</v>
      </c>
      <c r="G42" s="13" t="e">
        <f>ROUND(C42*E42,2)</f>
        <v>#REF!</v>
      </c>
      <c r="H42" s="523"/>
      <c r="I42" s="24"/>
      <c r="J42" s="42"/>
      <c r="O42" s="178"/>
      <c r="P42" s="178"/>
    </row>
    <row r="43" spans="1:16" ht="30.6" hidden="1" customHeight="1" x14ac:dyDescent="0.3">
      <c r="A43" s="859" t="s">
        <v>394</v>
      </c>
      <c r="B43" s="859"/>
      <c r="C43" s="211" t="e">
        <f>J33</f>
        <v>#REF!</v>
      </c>
      <c r="D43" s="33">
        <f>'MASQUE DE SAISIE '!G17</f>
        <v>0</v>
      </c>
      <c r="E43" s="34">
        <f>+'MASQUE DE SAISIE '!H17</f>
        <v>0</v>
      </c>
      <c r="F43" s="40" t="e">
        <f>ROUND(C43*D43,2)</f>
        <v>#REF!</v>
      </c>
      <c r="G43" s="13" t="e">
        <f>ROUND(C43*E43,2)</f>
        <v>#REF!</v>
      </c>
      <c r="H43" s="523"/>
      <c r="I43" s="24"/>
      <c r="J43" s="42"/>
      <c r="O43" s="178"/>
      <c r="P43" s="178"/>
    </row>
    <row r="44" spans="1:16" ht="19.149999999999999" hidden="1" customHeight="1" x14ac:dyDescent="0.3">
      <c r="A44" s="868"/>
      <c r="B44" s="869"/>
      <c r="C44" s="4"/>
      <c r="D44" s="4"/>
      <c r="E44" s="4"/>
      <c r="F44" s="4"/>
      <c r="G44" s="4"/>
      <c r="H44" s="523"/>
      <c r="I44" s="24"/>
      <c r="J44" s="24"/>
      <c r="O44" s="865"/>
      <c r="P44" s="865"/>
    </row>
    <row r="45" spans="1:16" ht="19.149999999999999" hidden="1" customHeight="1" x14ac:dyDescent="0.3">
      <c r="A45" s="850"/>
      <c r="B45" s="850"/>
      <c r="C45" s="13"/>
      <c r="D45" s="33"/>
      <c r="E45" s="34"/>
      <c r="F45" s="40"/>
      <c r="G45" s="13"/>
      <c r="H45" s="523"/>
      <c r="I45" s="24"/>
      <c r="J45" s="24"/>
      <c r="O45" s="865"/>
      <c r="P45" s="865"/>
    </row>
    <row r="46" spans="1:16" ht="19.149999999999999" hidden="1" customHeight="1" x14ac:dyDescent="0.3">
      <c r="A46" s="850"/>
      <c r="B46" s="850"/>
      <c r="C46" s="13"/>
      <c r="D46" s="33"/>
      <c r="E46" s="34"/>
      <c r="F46" s="40"/>
      <c r="G46" s="13"/>
      <c r="H46" s="523"/>
      <c r="I46" s="24"/>
      <c r="J46" s="24"/>
      <c r="O46" s="865"/>
      <c r="P46" s="865"/>
    </row>
    <row r="47" spans="1:16" ht="19.899999999999999" customHeight="1" x14ac:dyDescent="0.25">
      <c r="A47" s="853" t="s">
        <v>38</v>
      </c>
      <c r="B47" s="853"/>
      <c r="C47" s="15" t="e">
        <f>J33</f>
        <v>#REF!</v>
      </c>
      <c r="D47" s="33"/>
      <c r="E47" s="34">
        <f>'MASQUE DE SAISIE '!H21</f>
        <v>1.4999999999999999E-2</v>
      </c>
      <c r="F47" s="40" t="e">
        <f t="shared" si="2"/>
        <v>#REF!</v>
      </c>
      <c r="G47" s="13" t="e">
        <f t="shared" si="3"/>
        <v>#REF!</v>
      </c>
      <c r="H47" s="523"/>
      <c r="L47" s="864"/>
    </row>
    <row r="48" spans="1:16" ht="18.600000000000001" customHeight="1" x14ac:dyDescent="0.25">
      <c r="A48" s="853" t="s">
        <v>39</v>
      </c>
      <c r="B48" s="853"/>
      <c r="C48" s="16"/>
      <c r="D48" s="33"/>
      <c r="E48" s="34"/>
      <c r="F48" s="40"/>
      <c r="G48" s="13"/>
      <c r="H48" s="523"/>
      <c r="L48" s="864"/>
    </row>
    <row r="49" spans="1:17" ht="16.899999999999999" customHeight="1" x14ac:dyDescent="0.25">
      <c r="A49" s="859" t="s">
        <v>40</v>
      </c>
      <c r="B49" s="859"/>
      <c r="C49" s="40" t="e">
        <f>IF(J33&gt;C33,C33,J33)</f>
        <v>#REF!</v>
      </c>
      <c r="D49" s="33">
        <f>VLOOKUP(A49,TAUX2023,3,FALSE)</f>
        <v>6.9000000000000006E-2</v>
      </c>
      <c r="E49" s="34">
        <f xml:space="preserve"> VLOOKUP(A49,TAUX2023,4,FALSE)</f>
        <v>8.5500000000000007E-2</v>
      </c>
      <c r="F49" s="40" t="e">
        <f t="shared" si="2"/>
        <v>#REF!</v>
      </c>
      <c r="G49" s="13" t="e">
        <f t="shared" si="3"/>
        <v>#REF!</v>
      </c>
      <c r="H49" s="523"/>
      <c r="I49" s="524"/>
      <c r="J49" s="524"/>
    </row>
    <row r="50" spans="1:17" ht="16.899999999999999" customHeight="1" x14ac:dyDescent="0.25">
      <c r="A50" s="859" t="s">
        <v>41</v>
      </c>
      <c r="B50" s="859"/>
      <c r="C50" s="13" t="e">
        <f>J33</f>
        <v>#REF!</v>
      </c>
      <c r="D50" s="33">
        <f>VLOOKUP(A50,TAUX2023,3,FALSE)</f>
        <v>4.0000000000000001E-3</v>
      </c>
      <c r="E50" s="34">
        <f xml:space="preserve"> VLOOKUP(A50,TAUX2023,4,FALSE)</f>
        <v>2.0199999999999999E-2</v>
      </c>
      <c r="F50" s="40" t="e">
        <f t="shared" si="2"/>
        <v>#REF!</v>
      </c>
      <c r="G50" s="13" t="e">
        <f t="shared" si="3"/>
        <v>#REF!</v>
      </c>
      <c r="H50" s="527"/>
      <c r="I50" s="527"/>
      <c r="J50" s="524"/>
    </row>
    <row r="51" spans="1:17" ht="16.899999999999999" customHeight="1" x14ac:dyDescent="0.25">
      <c r="A51" s="859" t="s">
        <v>42</v>
      </c>
      <c r="B51" s="859"/>
      <c r="C51" s="13" t="e">
        <f>IF(J33&gt;C33,C33,J33)</f>
        <v>#REF!</v>
      </c>
      <c r="D51" s="163" t="e">
        <f>'BP FORMAT JUILLET 2023'!D53</f>
        <v>#REF!</v>
      </c>
      <c r="E51" s="164" t="e">
        <f>'BP FORMAT JUILLET 2023'!E53</f>
        <v>#REF!</v>
      </c>
      <c r="F51" s="40" t="e">
        <f t="shared" si="2"/>
        <v>#REF!</v>
      </c>
      <c r="G51" s="13" t="e">
        <f t="shared" si="3"/>
        <v>#REF!</v>
      </c>
      <c r="H51" s="527"/>
      <c r="I51" s="527"/>
      <c r="J51" s="524"/>
      <c r="K51" s="6"/>
      <c r="M51" s="862"/>
      <c r="N51" s="862"/>
      <c r="O51" s="862"/>
    </row>
    <row r="52" spans="1:17" ht="16.899999999999999" hidden="1" customHeight="1" x14ac:dyDescent="0.25">
      <c r="A52" s="859" t="s">
        <v>43</v>
      </c>
      <c r="B52" s="859"/>
      <c r="C52" s="13" t="e">
        <f>IF(J33&gt;8*C33,7*C33,IF(J33&gt;C33,J33-C33,0))</f>
        <v>#REF!</v>
      </c>
      <c r="D52" s="163" t="e">
        <f>'BP FORMAT JUILLET 2023'!D54</f>
        <v>#REF!</v>
      </c>
      <c r="E52" s="164" t="e">
        <f>'BP FORMAT JUILLET 2023'!E54</f>
        <v>#REF!</v>
      </c>
      <c r="F52" s="40" t="e">
        <f t="shared" si="2"/>
        <v>#REF!</v>
      </c>
      <c r="G52" s="13" t="e">
        <f t="shared" si="3"/>
        <v>#REF!</v>
      </c>
      <c r="H52" s="527"/>
      <c r="I52" s="527"/>
      <c r="J52" s="524"/>
      <c r="K52" s="6"/>
      <c r="M52" s="863"/>
      <c r="N52" s="863"/>
      <c r="O52" s="9"/>
      <c r="P52" s="11"/>
      <c r="Q52" s="9"/>
    </row>
    <row r="53" spans="1:17" ht="16.899999999999999" hidden="1" customHeight="1" x14ac:dyDescent="0.25">
      <c r="A53" s="850"/>
      <c r="B53" s="850"/>
      <c r="C53" s="13"/>
      <c r="D53" s="163"/>
      <c r="E53" s="164"/>
      <c r="F53" s="40"/>
      <c r="G53" s="13"/>
      <c r="H53" s="527"/>
      <c r="I53" s="527"/>
      <c r="J53" s="524"/>
      <c r="K53" s="6"/>
      <c r="M53" s="53"/>
      <c r="N53" s="53"/>
      <c r="O53" s="9"/>
      <c r="P53" s="11"/>
      <c r="Q53" s="9"/>
    </row>
    <row r="54" spans="1:17" ht="16.899999999999999" hidden="1" customHeight="1" x14ac:dyDescent="0.25">
      <c r="A54" s="850"/>
      <c r="B54" s="850"/>
      <c r="C54" s="13"/>
      <c r="D54" s="163"/>
      <c r="E54" s="164"/>
      <c r="F54" s="40"/>
      <c r="G54" s="13"/>
      <c r="H54" s="527"/>
      <c r="I54" s="527"/>
      <c r="J54" s="524"/>
      <c r="K54" s="6"/>
      <c r="M54" s="53"/>
      <c r="N54" s="53"/>
      <c r="O54" s="9"/>
      <c r="P54" s="11"/>
      <c r="Q54" s="9"/>
    </row>
    <row r="55" spans="1:17" ht="16.899999999999999" hidden="1" customHeight="1" x14ac:dyDescent="0.25">
      <c r="A55" s="850"/>
      <c r="B55" s="850"/>
      <c r="C55" s="167"/>
      <c r="D55" s="163"/>
      <c r="E55" s="164"/>
      <c r="F55" s="40"/>
      <c r="G55" s="13"/>
      <c r="H55" s="527"/>
      <c r="I55" s="527"/>
      <c r="J55" s="524"/>
      <c r="K55" s="6"/>
      <c r="M55" s="53"/>
      <c r="N55" s="53"/>
      <c r="O55" s="9"/>
      <c r="P55" s="11"/>
      <c r="Q55" s="9"/>
    </row>
    <row r="56" spans="1:17" ht="16.899999999999999" hidden="1" customHeight="1" x14ac:dyDescent="0.25">
      <c r="A56" s="850"/>
      <c r="B56" s="850"/>
      <c r="C56" s="13"/>
      <c r="D56" s="163"/>
      <c r="E56" s="164"/>
      <c r="F56" s="40"/>
      <c r="G56" s="13"/>
      <c r="H56" s="527"/>
      <c r="I56" s="527"/>
      <c r="J56" s="524"/>
      <c r="K56" s="6"/>
      <c r="M56" s="53"/>
      <c r="N56" s="53"/>
      <c r="O56" s="9"/>
      <c r="P56" s="11"/>
      <c r="Q56" s="9"/>
    </row>
    <row r="57" spans="1:17" ht="16.899999999999999" customHeight="1" x14ac:dyDescent="0.25">
      <c r="A57" s="858" t="s">
        <v>44</v>
      </c>
      <c r="B57" s="858"/>
      <c r="D57" s="33"/>
      <c r="E57" s="34"/>
      <c r="F57" s="40"/>
      <c r="G57" s="13"/>
      <c r="H57" s="527"/>
      <c r="I57" s="527"/>
      <c r="J57" s="524"/>
      <c r="M57" s="854"/>
      <c r="N57" s="854"/>
      <c r="P57" s="12"/>
      <c r="Q57" s="2"/>
    </row>
    <row r="58" spans="1:17" ht="19.899999999999999" customHeight="1" x14ac:dyDescent="0.25">
      <c r="A58" s="859" t="s">
        <v>71</v>
      </c>
      <c r="B58" s="859"/>
      <c r="C58" s="13" t="e">
        <f>J33</f>
        <v>#REF!</v>
      </c>
      <c r="D58" s="163"/>
      <c r="E58" s="164">
        <f xml:space="preserve"> VLOOKUP(A58,TAUX2023,4,FALSE)</f>
        <v>3.4500000000000003E-2</v>
      </c>
      <c r="F58" s="40" t="e">
        <f t="shared" si="2"/>
        <v>#REF!</v>
      </c>
      <c r="G58" s="13" t="e">
        <f>ROUND(C58*E58,2)</f>
        <v>#REF!</v>
      </c>
      <c r="H58" s="527"/>
      <c r="I58" s="527"/>
      <c r="J58" s="524"/>
      <c r="M58" s="47"/>
      <c r="N58" s="47"/>
      <c r="P58" s="12"/>
      <c r="Q58" s="2"/>
    </row>
    <row r="59" spans="1:17" ht="14.45" hidden="1" customHeight="1" x14ac:dyDescent="0.25">
      <c r="A59" s="859" t="s">
        <v>245</v>
      </c>
      <c r="B59" s="859"/>
      <c r="C59" s="40" t="e">
        <f>IF(J33&gt;3.3*'TABLE DES TAUX 2025 '!C52*B10,J33,0)</f>
        <v>#REF!</v>
      </c>
      <c r="D59" s="163"/>
      <c r="E59" s="164">
        <f xml:space="preserve"> VLOOKUP(A59,TAUX2023,4,FALSE)</f>
        <v>1.7999999999999999E-2</v>
      </c>
      <c r="F59" s="40" t="e">
        <f t="shared" si="2"/>
        <v>#REF!</v>
      </c>
      <c r="G59" s="13" t="e">
        <f t="shared" si="3"/>
        <v>#REF!</v>
      </c>
      <c r="H59" s="527"/>
      <c r="I59" s="527"/>
      <c r="J59" s="524"/>
      <c r="M59" s="47"/>
      <c r="N59" s="47"/>
      <c r="P59" s="12"/>
      <c r="Q59" s="2"/>
    </row>
    <row r="60" spans="1:17" ht="24.6" customHeight="1" x14ac:dyDescent="0.25">
      <c r="A60" s="853" t="s">
        <v>45</v>
      </c>
      <c r="B60" s="853"/>
      <c r="C60" s="18"/>
      <c r="D60" s="163"/>
      <c r="E60" s="164"/>
      <c r="F60" s="40">
        <f t="shared" si="2"/>
        <v>0</v>
      </c>
      <c r="G60" s="13"/>
      <c r="H60" s="527"/>
      <c r="I60" s="527"/>
      <c r="J60" s="524"/>
      <c r="M60" s="854"/>
      <c r="N60" s="854"/>
      <c r="O60" s="10"/>
    </row>
    <row r="61" spans="1:17" ht="18.600000000000001" customHeight="1" x14ac:dyDescent="0.25">
      <c r="A61" s="855" t="s">
        <v>203</v>
      </c>
      <c r="B61" s="855"/>
      <c r="C61" s="39" t="e">
        <f>IF(J33&gt;4*C33,4*C33,J33)</f>
        <v>#REF!</v>
      </c>
      <c r="D61" s="163"/>
      <c r="E61" s="164">
        <f>IF(H10&gt;=45778,4%,4.05%)+'TABLE DES TAUX 2025 '!D14</f>
        <v>4.3000000000000003E-2</v>
      </c>
      <c r="F61" s="40" t="e">
        <f t="shared" si="2"/>
        <v>#REF!</v>
      </c>
      <c r="G61" s="13" t="e">
        <f t="shared" si="3"/>
        <v>#REF!</v>
      </c>
      <c r="H61" s="527"/>
      <c r="I61" s="527"/>
      <c r="J61" s="524"/>
      <c r="M61" s="47"/>
      <c r="N61" s="47"/>
      <c r="O61" s="10"/>
    </row>
    <row r="62" spans="1:17" ht="18.600000000000001" hidden="1" customHeight="1" x14ac:dyDescent="0.25">
      <c r="A62" s="860"/>
      <c r="B62" s="861"/>
      <c r="C62" s="39"/>
      <c r="D62" s="163"/>
      <c r="E62" s="164"/>
      <c r="F62" s="40"/>
      <c r="G62" s="13"/>
      <c r="H62" s="527"/>
      <c r="I62" s="527"/>
      <c r="M62" s="47"/>
      <c r="N62" s="47"/>
      <c r="O62" s="10"/>
    </row>
    <row r="63" spans="1:17" ht="18.600000000000001" customHeight="1" x14ac:dyDescent="0.25">
      <c r="A63" s="856" t="s">
        <v>271</v>
      </c>
      <c r="B63" s="857"/>
      <c r="C63" s="39" t="e">
        <f>IF(I9=2,C61,0)</f>
        <v>#REF!</v>
      </c>
      <c r="D63" s="165">
        <f>VLOOKUP(A63,TAUX2023,3,FALSE)</f>
        <v>2.4000000000000001E-4</v>
      </c>
      <c r="E63" s="166">
        <f xml:space="preserve"> VLOOKUP(A63,TAUX2023,4,FALSE)</f>
        <v>3.6000000000000002E-4</v>
      </c>
      <c r="F63" s="40" t="e">
        <f t="shared" si="2"/>
        <v>#REF!</v>
      </c>
      <c r="G63" s="13" t="e">
        <f t="shared" si="3"/>
        <v>#REF!</v>
      </c>
      <c r="H63" s="527"/>
      <c r="I63" s="527"/>
      <c r="M63" s="47"/>
      <c r="N63" s="47"/>
      <c r="O63" s="10"/>
    </row>
    <row r="64" spans="1:17" ht="18.600000000000001" customHeight="1" x14ac:dyDescent="0.25">
      <c r="A64" s="858" t="s">
        <v>818</v>
      </c>
      <c r="B64" s="858"/>
      <c r="C64" s="13"/>
      <c r="D64" s="165"/>
      <c r="E64" s="166"/>
      <c r="F64" s="40">
        <f t="shared" si="2"/>
        <v>0</v>
      </c>
      <c r="G64" s="13" t="e">
        <f>E119</f>
        <v>#REF!</v>
      </c>
      <c r="H64" s="527"/>
      <c r="I64" s="527"/>
      <c r="M64" s="854"/>
      <c r="N64" s="854"/>
      <c r="O64" s="5"/>
    </row>
    <row r="65" spans="1:12" ht="33.75" hidden="1" customHeight="1" x14ac:dyDescent="0.25">
      <c r="A65" s="849" t="s">
        <v>47</v>
      </c>
      <c r="B65" s="849"/>
      <c r="C65" s="18"/>
      <c r="D65" s="33"/>
      <c r="E65" s="14"/>
      <c r="F65" s="40"/>
      <c r="G65" s="13"/>
      <c r="H65" s="527"/>
      <c r="I65" s="527"/>
    </row>
    <row r="66" spans="1:12" ht="21.75" customHeight="1" x14ac:dyDescent="0.25">
      <c r="A66" s="852" t="s">
        <v>48</v>
      </c>
      <c r="B66" s="852"/>
      <c r="C66" s="40" t="e">
        <f>'HEURES SUPPLEMENTAIRES '!F136</f>
        <v>#REF!</v>
      </c>
      <c r="D66" s="163">
        <f>VLOOKUP(A66,TAUX2023,3,FALSE)</f>
        <v>6.8000000000000005E-2</v>
      </c>
      <c r="E66" s="176"/>
      <c r="F66" s="40" t="e">
        <f t="shared" si="2"/>
        <v>#REF!</v>
      </c>
      <c r="G66" s="13"/>
      <c r="H66" s="527"/>
      <c r="I66" s="527"/>
      <c r="J66" s="2"/>
    </row>
    <row r="67" spans="1:12" ht="18.600000000000001" customHeight="1" x14ac:dyDescent="0.25">
      <c r="A67" s="852" t="s">
        <v>49</v>
      </c>
      <c r="B67" s="852"/>
      <c r="C67" s="13" t="e">
        <f>C66</f>
        <v>#REF!</v>
      </c>
      <c r="D67" s="163">
        <f>VLOOKUP(A67,TAUX2023,3,FALSE)</f>
        <v>2.9000000000000001E-2</v>
      </c>
      <c r="E67" s="176"/>
      <c r="F67" s="40" t="e">
        <f t="shared" si="2"/>
        <v>#REF!</v>
      </c>
      <c r="G67" s="13"/>
      <c r="H67" s="527"/>
      <c r="I67" s="527"/>
      <c r="J67" s="2"/>
      <c r="K67" s="2"/>
    </row>
    <row r="68" spans="1:12" ht="18.600000000000001" customHeight="1" x14ac:dyDescent="0.25">
      <c r="A68" s="852" t="s">
        <v>50</v>
      </c>
      <c r="B68" s="852"/>
      <c r="C68" s="13" t="e">
        <f>'BP FORMAT JUILLET 2023'!C67</f>
        <v>#REF!</v>
      </c>
      <c r="D68" s="163">
        <f>+D66</f>
        <v>6.8000000000000005E-2</v>
      </c>
      <c r="E68" s="176"/>
      <c r="F68" s="40" t="e">
        <f>ROUND(C68*D68,2)</f>
        <v>#REF!</v>
      </c>
      <c r="G68" s="13" t="e">
        <f t="shared" si="3"/>
        <v>#REF!</v>
      </c>
      <c r="H68" s="523"/>
      <c r="J68" s="2"/>
      <c r="K68" s="2"/>
    </row>
    <row r="69" spans="1:12" ht="18.600000000000001" hidden="1" customHeight="1" x14ac:dyDescent="0.25">
      <c r="A69" s="852" t="s">
        <v>51</v>
      </c>
      <c r="B69" s="852"/>
      <c r="C69" s="13" t="e">
        <f>'BP FORMAT JUILLET 2023'!C68</f>
        <v>#REF!</v>
      </c>
      <c r="D69" s="163">
        <f>+D68</f>
        <v>6.8000000000000005E-2</v>
      </c>
      <c r="E69" s="176"/>
      <c r="F69" s="40" t="e">
        <f>ROUND(C69*D69,2)</f>
        <v>#REF!</v>
      </c>
      <c r="G69" s="13" t="e">
        <f t="shared" si="3"/>
        <v>#REF!</v>
      </c>
      <c r="H69" s="523"/>
      <c r="J69" s="2"/>
      <c r="K69" s="2"/>
    </row>
    <row r="70" spans="1:12" ht="23.45" customHeight="1" x14ac:dyDescent="0.25">
      <c r="A70" s="852" t="s">
        <v>52</v>
      </c>
      <c r="B70" s="852"/>
      <c r="C70" s="13" t="e">
        <f>C68+C69</f>
        <v>#REF!</v>
      </c>
      <c r="D70" s="163">
        <f>+D67</f>
        <v>2.9000000000000001E-2</v>
      </c>
      <c r="E70" s="176"/>
      <c r="F70" s="40" t="e">
        <f>ROUND(C70*D70,2)</f>
        <v>#REF!</v>
      </c>
      <c r="G70" s="13" t="e">
        <f t="shared" si="3"/>
        <v>#REF!</v>
      </c>
      <c r="H70" s="523"/>
      <c r="J70" s="2"/>
      <c r="K70" s="2"/>
    </row>
    <row r="71" spans="1:12" ht="22.15" customHeight="1" x14ac:dyDescent="0.25">
      <c r="A71" s="849" t="s">
        <v>224</v>
      </c>
      <c r="B71" s="849"/>
      <c r="C71" s="13"/>
      <c r="D71" s="33"/>
      <c r="E71" s="14"/>
      <c r="F71" s="13"/>
      <c r="G71" s="40" t="e">
        <f>-'RED. GEN. de COT. Janv'!J16-'HEURES SUPPLEMENTAIRES '!A145</f>
        <v>#REF!</v>
      </c>
      <c r="H71" s="523"/>
      <c r="J71" s="2"/>
      <c r="K71" s="2"/>
    </row>
    <row r="72" spans="1:12" ht="26.45" customHeight="1" x14ac:dyDescent="0.25">
      <c r="A72" s="850" t="s">
        <v>53</v>
      </c>
      <c r="B72" s="850"/>
      <c r="C72" s="49" t="e">
        <f>'HEURES SUPPLEMENTAIRES '!F141</f>
        <v>#REF!</v>
      </c>
      <c r="D72" s="33"/>
      <c r="E72" s="162" t="e">
        <f>'HEURES SUPPLEMENTAIRES '!D57</f>
        <v>#REF!</v>
      </c>
      <c r="F72" s="19" t="e">
        <f>-ROUND(C72*E72,2)</f>
        <v>#REF!</v>
      </c>
      <c r="G72" s="17"/>
      <c r="H72" s="523"/>
      <c r="I72" s="2"/>
      <c r="J72" s="2"/>
      <c r="K72" s="2"/>
    </row>
    <row r="73" spans="1:12" ht="19.149999999999999" customHeight="1" x14ac:dyDescent="0.25">
      <c r="A73" s="850" t="s">
        <v>54</v>
      </c>
      <c r="B73" s="850"/>
      <c r="C73" s="13"/>
      <c r="D73" s="13"/>
      <c r="E73" s="13"/>
      <c r="F73" s="767" t="e">
        <f>SUM(F36:F72)</f>
        <v>#REF!</v>
      </c>
      <c r="G73" s="767" t="e">
        <f>SUM(G36:G72)</f>
        <v>#REF!</v>
      </c>
      <c r="H73" s="525"/>
      <c r="I73" s="2"/>
    </row>
    <row r="74" spans="1:12" ht="15.6" customHeight="1" x14ac:dyDescent="0.25">
      <c r="A74" s="850" t="s">
        <v>381</v>
      </c>
      <c r="B74" s="850"/>
      <c r="C74" s="13"/>
      <c r="D74" s="13"/>
      <c r="E74" s="18"/>
      <c r="F74" s="13">
        <f>'MASQUE DE SAISIE '!E47*'MASQUE DE SAISIE '!E48</f>
        <v>0</v>
      </c>
      <c r="G74" s="212">
        <f>'MASQUE DE SAISIE '!E47*'MASQUE DE SAISIE '!E49</f>
        <v>0</v>
      </c>
      <c r="H74" s="523"/>
    </row>
    <row r="75" spans="1:12" ht="19.149999999999999" customHeight="1" x14ac:dyDescent="0.25">
      <c r="A75" s="851" t="s">
        <v>55</v>
      </c>
      <c r="B75" s="851"/>
      <c r="C75" s="41"/>
      <c r="D75" s="41"/>
      <c r="E75" s="26"/>
      <c r="F75" s="41">
        <f>'MASQUE DE SAISIE '!E50</f>
        <v>0</v>
      </c>
      <c r="G75" s="26"/>
      <c r="H75" s="526"/>
    </row>
    <row r="76" spans="1:12" ht="19.149999999999999" hidden="1" customHeight="1" x14ac:dyDescent="0.25">
      <c r="A76" s="851"/>
      <c r="B76" s="851"/>
      <c r="C76" s="41"/>
      <c r="D76" s="41"/>
      <c r="E76" s="26"/>
      <c r="F76" s="41"/>
      <c r="G76" s="26"/>
      <c r="I76" s="7"/>
      <c r="J76" s="8"/>
      <c r="K76" s="7"/>
    </row>
    <row r="77" spans="1:12" ht="19.149999999999999" hidden="1" customHeight="1" x14ac:dyDescent="0.25">
      <c r="A77" s="883" t="s">
        <v>453</v>
      </c>
      <c r="B77" s="884"/>
      <c r="C77" s="41"/>
      <c r="D77" s="41"/>
      <c r="E77" s="26"/>
      <c r="F77" s="41"/>
      <c r="G77" s="26"/>
      <c r="I77" s="7"/>
      <c r="J77" s="8"/>
      <c r="K77" s="7"/>
    </row>
    <row r="78" spans="1:12" ht="19.149999999999999" customHeight="1" x14ac:dyDescent="0.25">
      <c r="A78" s="833" t="s">
        <v>64</v>
      </c>
      <c r="B78" s="833"/>
      <c r="C78" s="833"/>
      <c r="D78" s="833"/>
      <c r="E78" s="833"/>
      <c r="F78" s="833"/>
      <c r="G78" s="833"/>
      <c r="H78" s="833"/>
      <c r="I78" s="833"/>
      <c r="J78" s="834" t="e">
        <f>J33-F73+F75-F76-F74+F77</f>
        <v>#REF!</v>
      </c>
      <c r="K78" s="835"/>
      <c r="L78" s="835"/>
    </row>
    <row r="79" spans="1:12" ht="5.25" customHeight="1" x14ac:dyDescent="0.25">
      <c r="A79" s="836" t="s">
        <v>56</v>
      </c>
      <c r="B79" s="836"/>
      <c r="C79" s="836"/>
      <c r="D79" s="836"/>
      <c r="E79" s="836"/>
      <c r="F79" s="836"/>
      <c r="G79" s="836"/>
      <c r="H79" s="836"/>
      <c r="I79" s="836"/>
      <c r="J79" s="837" t="e">
        <f>F126</f>
        <v>#REF!</v>
      </c>
      <c r="K79" s="838"/>
      <c r="L79" s="838"/>
    </row>
    <row r="80" spans="1:12" ht="5.25" customHeight="1" x14ac:dyDescent="0.25">
      <c r="A80" s="836"/>
      <c r="B80" s="836"/>
      <c r="C80" s="836"/>
      <c r="D80" s="836"/>
      <c r="E80" s="836"/>
      <c r="F80" s="836"/>
      <c r="G80" s="836"/>
      <c r="H80" s="836"/>
      <c r="I80" s="836"/>
      <c r="J80" s="838"/>
      <c r="K80" s="838"/>
      <c r="L80" s="838"/>
    </row>
    <row r="81" spans="1:14" ht="5.25" customHeight="1" x14ac:dyDescent="0.25">
      <c r="A81" s="836"/>
      <c r="B81" s="836"/>
      <c r="C81" s="836"/>
      <c r="D81" s="836"/>
      <c r="E81" s="836"/>
      <c r="F81" s="836"/>
      <c r="G81" s="836"/>
      <c r="H81" s="836"/>
      <c r="I81" s="836"/>
      <c r="J81" s="838"/>
      <c r="K81" s="838"/>
      <c r="L81" s="838"/>
    </row>
    <row r="82" spans="1:14" ht="20.25" customHeight="1" x14ac:dyDescent="0.25">
      <c r="A82" s="839" t="s">
        <v>65</v>
      </c>
      <c r="B82" s="840"/>
      <c r="C82" s="841"/>
      <c r="D82" s="845" t="s">
        <v>59</v>
      </c>
      <c r="E82" s="845"/>
      <c r="F82" s="845" t="s">
        <v>66</v>
      </c>
      <c r="G82" s="845"/>
      <c r="H82" s="51" t="s">
        <v>60</v>
      </c>
      <c r="I82" s="23"/>
      <c r="J82" s="23"/>
      <c r="K82" s="23"/>
      <c r="L82" s="23"/>
    </row>
    <row r="83" spans="1:14" x14ac:dyDescent="0.25">
      <c r="A83" s="842"/>
      <c r="B83" s="843"/>
      <c r="C83" s="844"/>
      <c r="D83" s="846" t="e">
        <f>J87</f>
        <v>#REF!</v>
      </c>
      <c r="E83" s="847"/>
      <c r="F83" s="848" t="e">
        <f>'TAUX NEUTRE '!H12</f>
        <v>#REF!</v>
      </c>
      <c r="G83" s="838"/>
      <c r="H83" s="52" t="e">
        <f>ROUND(D83*F83,2)</f>
        <v>#REF!</v>
      </c>
      <c r="I83" s="23"/>
      <c r="J83" s="23"/>
      <c r="K83" s="23"/>
      <c r="L83" s="23"/>
    </row>
    <row r="84" spans="1:14" x14ac:dyDescent="0.25">
      <c r="A84" s="822" t="s">
        <v>57</v>
      </c>
      <c r="B84" s="822"/>
      <c r="C84" s="822"/>
      <c r="D84" s="822"/>
      <c r="E84" s="822"/>
      <c r="F84" s="822"/>
      <c r="G84" s="822"/>
      <c r="H84" s="822"/>
      <c r="I84" s="822"/>
      <c r="J84" s="825" t="e">
        <f>G73+J33</f>
        <v>#REF!</v>
      </c>
      <c r="K84" s="826"/>
      <c r="L84" s="826"/>
    </row>
    <row r="85" spans="1:14" x14ac:dyDescent="0.25">
      <c r="A85" s="822" t="s">
        <v>67</v>
      </c>
      <c r="B85" s="822"/>
      <c r="C85" s="822"/>
      <c r="D85" s="822"/>
      <c r="E85" s="822"/>
      <c r="F85" s="822"/>
      <c r="G85" s="822"/>
      <c r="H85" s="822"/>
      <c r="I85" s="822"/>
      <c r="J85" s="827" t="e">
        <f>-G71+IF(C59=0,J33*1.8%,0) +IF(C37=0,J33*6%,0)</f>
        <v>#REF!</v>
      </c>
      <c r="K85" s="828"/>
      <c r="L85" s="828"/>
    </row>
    <row r="86" spans="1:14" x14ac:dyDescent="0.25">
      <c r="A86" s="822" t="s">
        <v>225</v>
      </c>
      <c r="B86" s="822"/>
      <c r="C86" s="822"/>
      <c r="D86" s="822"/>
      <c r="E86" s="822"/>
      <c r="F86" s="822"/>
      <c r="G86" s="822"/>
      <c r="H86" s="822"/>
      <c r="I86" s="822"/>
      <c r="J86" s="825" t="e">
        <f>J78-H83</f>
        <v>#REF!</v>
      </c>
      <c r="K86" s="826"/>
      <c r="L86" s="826"/>
    </row>
    <row r="87" spans="1:14" x14ac:dyDescent="0.25">
      <c r="A87" s="822" t="s">
        <v>61</v>
      </c>
      <c r="B87" s="822"/>
      <c r="C87" s="822"/>
      <c r="D87" s="822"/>
      <c r="E87" s="822"/>
      <c r="F87" s="822"/>
      <c r="G87" s="822"/>
      <c r="H87" s="822"/>
      <c r="I87" s="822"/>
      <c r="J87" s="823" t="e">
        <f>'HEURES SUPPLEMENTAIRES '!E100</f>
        <v>#REF!</v>
      </c>
      <c r="K87" s="824"/>
      <c r="L87" s="824"/>
      <c r="N87" s="2"/>
    </row>
    <row r="88" spans="1:14" x14ac:dyDescent="0.25">
      <c r="A88" s="59"/>
      <c r="B88" s="346" t="s">
        <v>63</v>
      </c>
      <c r="C88" s="346" t="s">
        <v>276</v>
      </c>
      <c r="D88" s="829" t="s">
        <v>278</v>
      </c>
      <c r="E88" s="830"/>
      <c r="F88" s="831" t="s">
        <v>279</v>
      </c>
      <c r="G88" s="831"/>
      <c r="H88" s="366"/>
      <c r="I88" s="366"/>
      <c r="J88" s="173"/>
      <c r="K88" s="349"/>
      <c r="L88" s="349"/>
    </row>
    <row r="89" spans="1:14" ht="21" customHeight="1" x14ac:dyDescent="0.25">
      <c r="A89" s="367" t="s">
        <v>277</v>
      </c>
      <c r="B89" s="63" t="e">
        <f>H83</f>
        <v>#REF!</v>
      </c>
      <c r="C89" s="63"/>
      <c r="D89" s="352" t="s">
        <v>101</v>
      </c>
      <c r="E89" s="63"/>
      <c r="F89" s="352" t="s">
        <v>302</v>
      </c>
      <c r="G89" s="63"/>
      <c r="H89" s="365"/>
      <c r="I89" s="366"/>
      <c r="J89" s="173"/>
      <c r="K89" s="349"/>
      <c r="L89" s="349"/>
    </row>
    <row r="90" spans="1:14" ht="21" customHeight="1" x14ac:dyDescent="0.25">
      <c r="A90" s="368" t="s">
        <v>281</v>
      </c>
      <c r="B90" s="353" t="e">
        <f>C72</f>
        <v>#REF!</v>
      </c>
      <c r="C90" s="63"/>
      <c r="D90" s="352" t="s">
        <v>94</v>
      </c>
      <c r="E90" s="63"/>
      <c r="F90" s="352" t="s">
        <v>235</v>
      </c>
      <c r="G90" s="63"/>
      <c r="H90" s="366"/>
      <c r="I90" s="366"/>
      <c r="J90" s="173"/>
      <c r="K90" s="349"/>
      <c r="L90" s="349"/>
    </row>
    <row r="91" spans="1:14" ht="17.25" customHeight="1" x14ac:dyDescent="0.25">
      <c r="A91" s="369" t="s">
        <v>179</v>
      </c>
      <c r="B91" s="353" t="e">
        <f>J33</f>
        <v>#REF!</v>
      </c>
      <c r="C91" s="63"/>
      <c r="D91" s="352" t="s">
        <v>234</v>
      </c>
      <c r="E91" s="63"/>
      <c r="F91" s="352" t="s">
        <v>234</v>
      </c>
      <c r="G91" s="63"/>
      <c r="H91" s="366"/>
      <c r="I91" s="366"/>
      <c r="J91" s="173"/>
      <c r="K91" s="349"/>
      <c r="L91" s="349"/>
    </row>
    <row r="92" spans="1:14" ht="17.25" customHeight="1" x14ac:dyDescent="0.25">
      <c r="A92" s="369" t="s">
        <v>61</v>
      </c>
      <c r="B92" s="353" t="e">
        <f>J87</f>
        <v>#REF!</v>
      </c>
      <c r="C92" s="63"/>
      <c r="D92" s="348"/>
      <c r="E92" s="348"/>
      <c r="F92" s="348"/>
      <c r="G92" s="348"/>
      <c r="H92" s="366"/>
      <c r="I92" s="366"/>
      <c r="J92" s="173"/>
      <c r="K92" s="349"/>
      <c r="L92" s="349"/>
    </row>
    <row r="93" spans="1:14" ht="15" customHeight="1" x14ac:dyDescent="0.25">
      <c r="A93" s="821" t="s">
        <v>58</v>
      </c>
      <c r="B93" s="821"/>
      <c r="C93" s="821"/>
      <c r="D93" s="821"/>
      <c r="E93" s="821"/>
      <c r="F93" s="23"/>
      <c r="G93" s="23"/>
      <c r="H93" s="23"/>
      <c r="I93" s="23"/>
      <c r="J93" s="23"/>
      <c r="K93" s="23"/>
      <c r="L93" s="23"/>
    </row>
    <row r="94" spans="1:14" s="23" customFormat="1" ht="12" customHeight="1" x14ac:dyDescent="0.25">
      <c r="A94" s="43" t="s">
        <v>62</v>
      </c>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x14ac:dyDescent="0.25">
      <c r="A105" s="23"/>
      <c r="B105" s="23"/>
      <c r="C105" s="23"/>
      <c r="D105" s="23"/>
      <c r="E105" s="23"/>
      <c r="F105" s="23"/>
      <c r="G105" s="23"/>
      <c r="H105" s="23"/>
      <c r="I105" s="23"/>
      <c r="J105" s="23"/>
      <c r="K105" s="23"/>
      <c r="L105" s="23"/>
    </row>
    <row r="106" spans="1:18" ht="15.75" x14ac:dyDescent="0.25">
      <c r="A106" s="25"/>
      <c r="B106" s="25"/>
      <c r="C106" s="25"/>
      <c r="D106" s="25"/>
      <c r="E106" s="25"/>
      <c r="F106" s="25"/>
      <c r="G106" s="25"/>
      <c r="H106" s="25"/>
      <c r="I106" s="25"/>
      <c r="J106" s="25"/>
      <c r="K106" s="25"/>
      <c r="L106" s="25"/>
      <c r="M106" s="27"/>
      <c r="N106" s="27"/>
      <c r="O106" s="27"/>
      <c r="P106" s="27"/>
      <c r="Q106" s="27"/>
      <c r="R106" s="27"/>
    </row>
    <row r="107" spans="1:18" ht="33.6" customHeight="1" x14ac:dyDescent="0.25">
      <c r="A107" s="832" t="s">
        <v>84</v>
      </c>
      <c r="B107" s="832"/>
      <c r="C107" s="832"/>
      <c r="D107" s="832"/>
      <c r="E107" s="832"/>
      <c r="F107" s="25"/>
      <c r="G107" s="25"/>
      <c r="H107" s="25"/>
      <c r="I107" s="25"/>
      <c r="J107" s="25"/>
      <c r="K107" s="25"/>
      <c r="L107" s="25"/>
      <c r="M107" s="27"/>
      <c r="N107" s="27"/>
      <c r="O107" s="27"/>
      <c r="P107" s="27"/>
      <c r="Q107" s="27"/>
      <c r="R107" s="27"/>
    </row>
    <row r="108" spans="1:18" ht="33.6" customHeight="1" x14ac:dyDescent="0.25">
      <c r="A108" s="404"/>
      <c r="B108" s="104"/>
      <c r="C108" s="383" t="s">
        <v>32</v>
      </c>
      <c r="D108" s="383" t="s">
        <v>86</v>
      </c>
      <c r="E108" s="383" t="s">
        <v>95</v>
      </c>
      <c r="H108" s="25"/>
      <c r="I108" s="25"/>
      <c r="J108" s="25"/>
      <c r="K108" s="25"/>
      <c r="L108" s="25"/>
      <c r="M108" s="27"/>
      <c r="N108" s="27"/>
      <c r="O108" s="27"/>
      <c r="P108" s="27"/>
      <c r="Q108" s="27"/>
      <c r="R108" s="27"/>
    </row>
    <row r="109" spans="1:18" ht="33.6" customHeight="1" x14ac:dyDescent="0.25">
      <c r="A109" s="811" t="s">
        <v>87</v>
      </c>
      <c r="B109" s="812"/>
      <c r="C109" s="673" t="e">
        <f>IF(B9&lt;50,IF(J33&gt;C33,C33,J33),0)</f>
        <v>#REF!</v>
      </c>
      <c r="D109" s="674">
        <f>'TABLE DES TAUX 2025 '!D26</f>
        <v>1E-3</v>
      </c>
      <c r="E109" s="673" t="e">
        <f>ROUND(C109*D109,2)</f>
        <v>#REF!</v>
      </c>
      <c r="H109" s="25"/>
      <c r="I109" s="25"/>
      <c r="J109" s="25"/>
      <c r="K109" s="25"/>
      <c r="L109" s="25"/>
      <c r="M109" s="27"/>
      <c r="N109" s="27"/>
      <c r="O109" s="27"/>
      <c r="P109" s="27"/>
      <c r="Q109" s="27"/>
      <c r="R109" s="27"/>
    </row>
    <row r="110" spans="1:18" ht="33.6" customHeight="1" x14ac:dyDescent="0.25">
      <c r="A110" s="811" t="s">
        <v>88</v>
      </c>
      <c r="B110" s="812"/>
      <c r="C110" s="673">
        <f>IF(B9&gt;=50,J33,0)</f>
        <v>0</v>
      </c>
      <c r="D110" s="674">
        <f>'TABLE DES TAUX 2025 '!D27</f>
        <v>5.0000000000000001E-3</v>
      </c>
      <c r="E110" s="673">
        <f>ROUND(C110*D110,2)</f>
        <v>0</v>
      </c>
      <c r="H110" s="25"/>
      <c r="I110" s="25"/>
      <c r="J110" s="25"/>
      <c r="K110" s="25"/>
      <c r="L110" s="25"/>
      <c r="M110" s="27"/>
      <c r="N110" s="27"/>
      <c r="O110" s="27"/>
      <c r="P110" s="27"/>
      <c r="Q110" s="27"/>
      <c r="R110" s="27"/>
    </row>
    <row r="111" spans="1:18" ht="33.6" customHeight="1" x14ac:dyDescent="0.25">
      <c r="A111" s="811" t="s">
        <v>270</v>
      </c>
      <c r="B111" s="812"/>
      <c r="C111" s="673" t="e">
        <f>IF(B9&gt;=11,J33,0)</f>
        <v>#REF!</v>
      </c>
      <c r="D111" s="674">
        <f>'TABLE DES TAUX 2025 '!D28</f>
        <v>3.2000000000000001E-2</v>
      </c>
      <c r="E111" s="673" t="e">
        <f t="shared" ref="E111:E118" si="4">ROUND(C111*D111,2)</f>
        <v>#REF!</v>
      </c>
      <c r="H111" s="25"/>
      <c r="I111" s="25"/>
      <c r="J111" s="25"/>
      <c r="K111" s="25"/>
      <c r="L111" s="25"/>
      <c r="M111" s="27"/>
      <c r="N111" s="27"/>
      <c r="O111" s="27"/>
      <c r="P111" s="27"/>
      <c r="Q111" s="27"/>
      <c r="R111" s="27"/>
    </row>
    <row r="112" spans="1:18" ht="33.6" customHeight="1" x14ac:dyDescent="0.25">
      <c r="A112" s="818" t="s">
        <v>72</v>
      </c>
      <c r="B112" s="819"/>
      <c r="C112" s="673" t="e">
        <f>J33</f>
        <v>#REF!</v>
      </c>
      <c r="D112" s="674">
        <f>'TABLE DES TAUX 2025 '!D29</f>
        <v>3.0000000000000001E-3</v>
      </c>
      <c r="E112" s="673" t="e">
        <f t="shared" si="4"/>
        <v>#REF!</v>
      </c>
      <c r="H112" s="25"/>
      <c r="I112" s="25"/>
      <c r="J112" s="25"/>
      <c r="K112" s="25"/>
      <c r="L112" s="25"/>
      <c r="M112" s="27"/>
      <c r="N112" s="27"/>
      <c r="O112" s="27"/>
      <c r="P112" s="27"/>
      <c r="Q112" s="27"/>
      <c r="R112" s="27"/>
    </row>
    <row r="113" spans="1:18" ht="33.6" customHeight="1" x14ac:dyDescent="0.25">
      <c r="A113" s="811" t="s">
        <v>85</v>
      </c>
      <c r="B113" s="812"/>
      <c r="C113" s="673" t="e">
        <f>IF(B9&gt;=11, IF(I9=2,G38+G41+G42,G39+G40),0)</f>
        <v>#REF!</v>
      </c>
      <c r="D113" s="674">
        <f>'TABLE DES TAUX 2025 '!D30</f>
        <v>0.08</v>
      </c>
      <c r="E113" s="673" t="e">
        <f t="shared" si="4"/>
        <v>#REF!</v>
      </c>
      <c r="H113" s="27"/>
      <c r="I113" s="27"/>
      <c r="J113" s="27"/>
      <c r="K113" s="27"/>
      <c r="L113" s="27"/>
      <c r="M113" s="27"/>
      <c r="N113" s="27"/>
      <c r="O113" s="27"/>
      <c r="P113" s="27"/>
      <c r="Q113" s="27"/>
      <c r="R113" s="27"/>
    </row>
    <row r="114" spans="1:18" ht="33.6" customHeight="1" x14ac:dyDescent="0.25">
      <c r="A114" s="819" t="s">
        <v>217</v>
      </c>
      <c r="B114" s="820"/>
      <c r="C114" s="673" t="e">
        <f>G43</f>
        <v>#REF!</v>
      </c>
      <c r="D114" s="674">
        <f>'TABLE DES TAUX 2025 '!D31</f>
        <v>0.2</v>
      </c>
      <c r="E114" s="673" t="e">
        <f t="shared" si="4"/>
        <v>#REF!</v>
      </c>
      <c r="H114" s="27"/>
      <c r="I114" s="27"/>
      <c r="J114" s="27"/>
      <c r="K114" s="27"/>
      <c r="L114" s="27"/>
      <c r="M114" s="27"/>
      <c r="N114" s="27"/>
      <c r="O114" s="27"/>
      <c r="P114" s="27"/>
      <c r="Q114" s="27"/>
      <c r="R114" s="27"/>
    </row>
    <row r="115" spans="1:18" ht="33.6" customHeight="1" x14ac:dyDescent="0.25">
      <c r="A115" s="818" t="s">
        <v>73</v>
      </c>
      <c r="B115" s="819"/>
      <c r="C115" s="673" t="e">
        <f>+J33</f>
        <v>#REF!</v>
      </c>
      <c r="D115" s="674">
        <f>'TABLE DES TAUX 2025 '!D32</f>
        <v>1.6000000000000001E-4</v>
      </c>
      <c r="E115" s="673" t="e">
        <f t="shared" si="4"/>
        <v>#REF!</v>
      </c>
      <c r="H115" s="27"/>
      <c r="I115" s="27"/>
      <c r="J115" s="27"/>
      <c r="K115" s="27"/>
      <c r="L115" s="27"/>
      <c r="M115" s="27"/>
      <c r="N115" s="27"/>
      <c r="O115" s="27"/>
      <c r="P115" s="27"/>
      <c r="Q115" s="27"/>
      <c r="R115" s="27"/>
    </row>
    <row r="116" spans="1:18" ht="33.6" customHeight="1" x14ac:dyDescent="0.25">
      <c r="A116" s="811" t="s">
        <v>826</v>
      </c>
      <c r="B116" s="812"/>
      <c r="C116" s="673" t="e">
        <f>IF(B9&gt;=11,J33,0)</f>
        <v>#REF!</v>
      </c>
      <c r="D116" s="674">
        <f>'TABLE DES TAUX 2025 '!D33</f>
        <v>1.6800000000000002E-2</v>
      </c>
      <c r="E116" s="673" t="e">
        <f t="shared" si="4"/>
        <v>#REF!</v>
      </c>
      <c r="H116" s="27"/>
      <c r="I116" s="27"/>
      <c r="J116" s="27"/>
      <c r="K116" s="27"/>
      <c r="L116" s="27"/>
      <c r="M116" s="27"/>
      <c r="N116" s="27"/>
      <c r="O116" s="27"/>
      <c r="P116" s="27"/>
      <c r="Q116" s="27"/>
      <c r="R116" s="27"/>
    </row>
    <row r="117" spans="1:18" ht="33.6" customHeight="1" x14ac:dyDescent="0.25">
      <c r="A117" s="811" t="s">
        <v>827</v>
      </c>
      <c r="B117" s="812"/>
      <c r="C117" s="673">
        <f>IF(B9&lt;11,J33,0)</f>
        <v>0</v>
      </c>
      <c r="D117" s="674">
        <f>'TABLE DES TAUX 2025 '!D34</f>
        <v>1.2300000000000002E-2</v>
      </c>
      <c r="E117" s="673">
        <f t="shared" si="4"/>
        <v>0</v>
      </c>
      <c r="H117" s="27"/>
      <c r="I117" s="27"/>
      <c r="J117" s="27"/>
      <c r="K117" s="27"/>
      <c r="L117" s="27"/>
      <c r="M117" s="27"/>
      <c r="N117" s="27"/>
      <c r="O117" s="27"/>
      <c r="P117" s="27"/>
      <c r="Q117" s="27"/>
      <c r="R117" s="27"/>
    </row>
    <row r="118" spans="1:18" ht="33.6" customHeight="1" x14ac:dyDescent="0.25">
      <c r="A118" s="813" t="s">
        <v>78</v>
      </c>
      <c r="B118" s="814"/>
      <c r="C118" s="675">
        <f>IF(B9&lt;50,0,J33)</f>
        <v>0</v>
      </c>
      <c r="D118" s="676">
        <f>'TABLE DES TAUX 2025 '!D35</f>
        <v>4.4999999999999997E-3</v>
      </c>
      <c r="E118" s="675">
        <f t="shared" si="4"/>
        <v>0</v>
      </c>
      <c r="H118" s="27"/>
      <c r="I118" s="27"/>
      <c r="J118" s="27"/>
      <c r="K118" s="27"/>
      <c r="L118" s="27"/>
      <c r="M118" s="27"/>
      <c r="N118" s="27"/>
      <c r="O118" s="27"/>
      <c r="P118" s="27"/>
      <c r="Q118" s="27"/>
      <c r="R118" s="27"/>
    </row>
    <row r="119" spans="1:18" ht="33.6" customHeight="1" x14ac:dyDescent="0.25">
      <c r="A119" s="27"/>
      <c r="B119" s="27"/>
      <c r="D119" s="27"/>
      <c r="E119" s="64" t="e">
        <f>SUM(E109:E118)</f>
        <v>#REF!</v>
      </c>
      <c r="F119" s="27"/>
      <c r="G119" s="27"/>
      <c r="H119" s="27"/>
      <c r="I119" s="27"/>
      <c r="J119" s="27"/>
      <c r="K119" s="27"/>
      <c r="L119" s="27"/>
      <c r="M119" s="27"/>
      <c r="N119" s="27"/>
      <c r="O119" s="27"/>
      <c r="P119" s="27"/>
      <c r="Q119" s="27"/>
      <c r="R119" s="27"/>
    </row>
    <row r="120" spans="1:18" ht="15.75" x14ac:dyDescent="0.25">
      <c r="A120" s="27"/>
      <c r="B120" s="27"/>
      <c r="C120" s="27"/>
      <c r="D120" s="27"/>
      <c r="E120" s="27"/>
      <c r="F120" s="27"/>
      <c r="G120" s="27"/>
      <c r="H120" s="27"/>
      <c r="I120" s="27"/>
      <c r="J120" s="27"/>
      <c r="K120" s="27"/>
      <c r="L120" s="27"/>
      <c r="M120" s="27"/>
      <c r="N120" s="27"/>
      <c r="O120" s="27"/>
      <c r="P120" s="27"/>
      <c r="Q120" s="27"/>
      <c r="R120" s="27"/>
    </row>
    <row r="121" spans="1:18" ht="16.5" x14ac:dyDescent="0.3">
      <c r="A121" s="24"/>
      <c r="B121" s="24"/>
      <c r="C121" s="24"/>
      <c r="D121" s="24"/>
      <c r="E121" s="24"/>
      <c r="F121" s="24"/>
      <c r="G121" s="24"/>
      <c r="H121" s="27"/>
      <c r="I121" s="27"/>
      <c r="J121" s="27"/>
      <c r="K121" s="27"/>
      <c r="L121" s="27"/>
      <c r="M121" s="27"/>
      <c r="N121" s="27"/>
      <c r="O121" s="27"/>
      <c r="P121" s="27"/>
      <c r="Q121" s="27"/>
      <c r="R121" s="27"/>
    </row>
    <row r="122" spans="1:18" ht="24.6" customHeight="1" x14ac:dyDescent="0.3">
      <c r="A122" s="24"/>
      <c r="B122" s="24"/>
      <c r="C122" s="24"/>
      <c r="D122" s="24"/>
      <c r="E122" s="24"/>
      <c r="F122" s="24"/>
      <c r="G122" s="24"/>
      <c r="H122" s="27"/>
      <c r="I122" s="27"/>
      <c r="J122" s="27"/>
      <c r="K122" s="27"/>
      <c r="L122" s="27"/>
      <c r="M122" s="27"/>
      <c r="N122" s="27"/>
      <c r="O122" s="27"/>
      <c r="P122" s="27"/>
      <c r="Q122" s="27"/>
      <c r="R122" s="27"/>
    </row>
    <row r="123" spans="1:18" ht="36" hidden="1" customHeight="1" x14ac:dyDescent="0.3">
      <c r="A123" s="815" t="s">
        <v>90</v>
      </c>
      <c r="B123" s="815"/>
      <c r="C123" s="45">
        <v>7.4999999999999997E-3</v>
      </c>
      <c r="D123" s="46" t="e">
        <f>C36*C123</f>
        <v>#REF!</v>
      </c>
      <c r="E123" s="24"/>
      <c r="F123" s="24"/>
      <c r="G123" s="24"/>
      <c r="H123" s="27"/>
      <c r="I123" s="27"/>
      <c r="J123" s="27"/>
      <c r="K123" s="27"/>
      <c r="L123" s="27"/>
      <c r="M123" s="27"/>
      <c r="N123" s="27"/>
      <c r="O123" s="27"/>
      <c r="P123" s="27"/>
      <c r="Q123" s="27"/>
      <c r="R123" s="27"/>
    </row>
    <row r="124" spans="1:18" ht="35.25" hidden="1" customHeight="1" x14ac:dyDescent="0.3">
      <c r="A124" s="809" t="s">
        <v>91</v>
      </c>
      <c r="B124" s="809"/>
      <c r="C124" s="45">
        <v>2.4E-2</v>
      </c>
      <c r="D124" s="46" t="e">
        <f>C61*C124</f>
        <v>#REF!</v>
      </c>
      <c r="E124" s="24"/>
      <c r="F124" s="24"/>
      <c r="G124" s="24"/>
      <c r="H124" s="27"/>
      <c r="I124" s="27"/>
      <c r="J124" s="27"/>
      <c r="K124" s="27"/>
      <c r="L124" s="27"/>
      <c r="M124" s="27"/>
      <c r="N124" s="27"/>
      <c r="O124" s="27"/>
      <c r="P124" s="27"/>
      <c r="Q124" s="27"/>
      <c r="R124" s="27"/>
    </row>
    <row r="125" spans="1:18" ht="22.5" hidden="1" customHeight="1" x14ac:dyDescent="0.3">
      <c r="A125" s="24"/>
      <c r="B125" s="24"/>
      <c r="C125" s="24"/>
      <c r="D125" s="24"/>
      <c r="E125" s="24"/>
      <c r="F125" s="24"/>
      <c r="G125" s="24"/>
      <c r="H125" s="27"/>
      <c r="I125" s="27"/>
      <c r="J125" s="27"/>
      <c r="K125" s="27"/>
      <c r="L125" s="27"/>
      <c r="M125" s="27"/>
      <c r="N125" s="27"/>
      <c r="O125" s="27"/>
      <c r="P125" s="27"/>
      <c r="Q125" s="27"/>
      <c r="R125" s="27"/>
    </row>
    <row r="126" spans="1:18" ht="22.5" hidden="1" customHeight="1" x14ac:dyDescent="0.3">
      <c r="A126" s="816" t="s">
        <v>112</v>
      </c>
      <c r="B126" s="816"/>
      <c r="C126" s="816"/>
      <c r="D126" s="817"/>
      <c r="E126" s="65" t="s">
        <v>93</v>
      </c>
      <c r="F126" s="66" t="e">
        <f>D123+D124-D128</f>
        <v>#REF!</v>
      </c>
      <c r="G126" s="24"/>
      <c r="H126" s="27"/>
      <c r="I126" s="27"/>
      <c r="J126" s="27"/>
      <c r="K126" s="27"/>
      <c r="L126" s="27"/>
      <c r="M126" s="27"/>
      <c r="N126" s="27"/>
      <c r="O126" s="27"/>
      <c r="P126" s="27"/>
      <c r="Q126" s="27"/>
      <c r="R126" s="27"/>
    </row>
    <row r="127" spans="1:18" ht="0.75" hidden="1" customHeight="1" x14ac:dyDescent="0.3">
      <c r="A127" s="24"/>
      <c r="B127" s="24"/>
      <c r="C127" s="24"/>
      <c r="D127" s="24"/>
      <c r="E127" s="24"/>
      <c r="F127" s="24"/>
      <c r="G127" s="24"/>
      <c r="H127" s="27"/>
      <c r="I127" s="27"/>
      <c r="J127" s="27"/>
      <c r="K127" s="27"/>
      <c r="L127" s="27"/>
      <c r="M127" s="27"/>
      <c r="N127" s="27"/>
      <c r="O127" s="27"/>
      <c r="P127" s="27"/>
      <c r="Q127" s="27"/>
      <c r="R127" s="27"/>
    </row>
    <row r="128" spans="1:18" ht="36" hidden="1" customHeight="1" x14ac:dyDescent="0.3">
      <c r="A128" s="809" t="s">
        <v>92</v>
      </c>
      <c r="B128" s="809"/>
      <c r="C128" s="45">
        <v>1.7000000000000001E-2</v>
      </c>
      <c r="D128" s="46" t="e">
        <f>(C66+C70)*C128</f>
        <v>#REF!</v>
      </c>
      <c r="E128" s="24"/>
      <c r="F128" s="24"/>
      <c r="G128" s="24"/>
      <c r="H128" s="27"/>
      <c r="I128" s="27"/>
      <c r="J128" s="27"/>
      <c r="K128" s="27"/>
      <c r="L128" s="27"/>
      <c r="M128" s="27"/>
      <c r="N128" s="27"/>
      <c r="O128" s="27"/>
      <c r="P128" s="27"/>
      <c r="Q128" s="27"/>
      <c r="R128" s="27"/>
    </row>
    <row r="129" spans="1:18" ht="16.5" x14ac:dyDescent="0.3">
      <c r="A129" s="24"/>
      <c r="B129" s="24"/>
      <c r="C129" s="24"/>
      <c r="D129" s="24"/>
      <c r="E129" s="24"/>
      <c r="F129" s="24"/>
      <c r="G129" s="24"/>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1" spans="1:18" ht="15.75" x14ac:dyDescent="0.25">
      <c r="A141" s="27"/>
      <c r="B141" s="27"/>
      <c r="C141" s="27"/>
      <c r="D141" s="27"/>
      <c r="E141" s="27"/>
      <c r="F141" s="27"/>
      <c r="G141" s="27"/>
      <c r="H141" s="27"/>
      <c r="I141" s="27"/>
      <c r="J141" s="27"/>
      <c r="K141" s="27"/>
      <c r="L141" s="27"/>
      <c r="M141" s="27"/>
      <c r="N141" s="27"/>
      <c r="O141" s="27"/>
      <c r="P141" s="27"/>
      <c r="Q141" s="27"/>
      <c r="R141" s="27"/>
    </row>
    <row r="143" spans="1:18" ht="28.5" customHeight="1" x14ac:dyDescent="0.25">
      <c r="A143" s="810"/>
      <c r="B143" s="810"/>
      <c r="C143" s="810"/>
      <c r="D143" s="810"/>
      <c r="E143" s="810"/>
      <c r="F143" s="810"/>
      <c r="G143" s="810"/>
      <c r="H143" s="810"/>
      <c r="I143" s="810"/>
      <c r="J143" s="810"/>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7">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128:B128"/>
    <mergeCell ref="A143:J143"/>
    <mergeCell ref="A116:B116"/>
    <mergeCell ref="A117:B117"/>
    <mergeCell ref="A118:B118"/>
    <mergeCell ref="A123:B123"/>
    <mergeCell ref="A124:B124"/>
    <mergeCell ref="A126:D126"/>
    <mergeCell ref="A111:B111"/>
    <mergeCell ref="A112:B112"/>
    <mergeCell ref="A113:B113"/>
    <mergeCell ref="A114:B114"/>
    <mergeCell ref="A115:B11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2"/>
  <sheetViews>
    <sheetView topLeftCell="E66" zoomScale="140" zoomScaleNormal="140" workbookViewId="0">
      <selection activeCell="G70" sqref="G70"/>
    </sheetView>
  </sheetViews>
  <sheetFormatPr baseColWidth="10" defaultColWidth="11.42578125" defaultRowHeight="16.5" x14ac:dyDescent="0.3"/>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893" t="s">
        <v>457</v>
      </c>
      <c r="B1" s="893"/>
      <c r="C1" s="893"/>
      <c r="D1" s="893"/>
      <c r="E1" s="893"/>
      <c r="F1" s="893"/>
      <c r="G1" s="893"/>
      <c r="H1" s="894"/>
      <c r="I1" s="894"/>
      <c r="J1" s="894"/>
    </row>
    <row r="2" spans="1:10" ht="15.75" customHeight="1" x14ac:dyDescent="0.3">
      <c r="A2" s="895" t="s">
        <v>0</v>
      </c>
      <c r="B2" s="896"/>
      <c r="C2" s="896"/>
      <c r="D2" s="897"/>
      <c r="E2" s="296"/>
      <c r="F2" s="898" t="s">
        <v>1</v>
      </c>
      <c r="G2" s="899"/>
      <c r="H2" s="899"/>
      <c r="I2" s="899"/>
      <c r="J2" s="900"/>
    </row>
    <row r="3" spans="1:10" ht="15.75" customHeight="1" x14ac:dyDescent="0.3">
      <c r="A3" s="297" t="s">
        <v>2</v>
      </c>
      <c r="B3" s="901" t="str">
        <f>'MASQUE DE SAISIE '!G4</f>
        <v xml:space="preserve">ATGR </v>
      </c>
      <c r="C3" s="902"/>
      <c r="D3" s="903"/>
      <c r="E3" s="298"/>
      <c r="F3" s="299" t="s">
        <v>2</v>
      </c>
      <c r="G3" s="888" t="str">
        <f>'MASQUE DE SAISIE '!E26</f>
        <v xml:space="preserve">MARTINO </v>
      </c>
      <c r="H3" s="888"/>
      <c r="I3" s="888"/>
      <c r="J3" s="888"/>
    </row>
    <row r="4" spans="1:10" ht="15.75" customHeight="1" x14ac:dyDescent="0.3">
      <c r="A4" s="297" t="s">
        <v>3</v>
      </c>
      <c r="B4" s="901" t="str">
        <f>'MASQUE DE SAISIE '!G5</f>
        <v xml:space="preserve">3 Rue Paul Vaillant Couturier 92300 Levallois-Perret </v>
      </c>
      <c r="C4" s="902"/>
      <c r="D4" s="903"/>
      <c r="E4" s="298"/>
      <c r="F4" s="299" t="s">
        <v>4</v>
      </c>
      <c r="G4" s="888" t="str">
        <f>'MASQUE DE SAISIE '!E27</f>
        <v xml:space="preserve">Hervé </v>
      </c>
      <c r="H4" s="888"/>
      <c r="I4" s="888"/>
      <c r="J4" s="888"/>
    </row>
    <row r="5" spans="1:10" ht="15.75" customHeight="1" x14ac:dyDescent="0.3">
      <c r="A5" s="297"/>
      <c r="B5" s="885"/>
      <c r="C5" s="886"/>
      <c r="D5" s="887"/>
      <c r="E5" s="298"/>
      <c r="F5" s="299" t="s">
        <v>5</v>
      </c>
      <c r="G5" s="888" t="str">
        <f>'MASQUE DE SAISIE '!E29</f>
        <v>Responsable Paie</v>
      </c>
      <c r="H5" s="888"/>
      <c r="I5" s="888"/>
      <c r="J5" s="888"/>
    </row>
    <row r="6" spans="1:10" ht="15.75" customHeight="1" x14ac:dyDescent="0.3">
      <c r="A6" s="297" t="s">
        <v>6</v>
      </c>
      <c r="B6" s="889">
        <f>'MASQUE DE SAISIE '!G6</f>
        <v>34464426500029</v>
      </c>
      <c r="C6" s="890"/>
      <c r="D6" s="891"/>
      <c r="E6" s="300"/>
      <c r="F6" s="299" t="s">
        <v>7</v>
      </c>
      <c r="G6" s="888">
        <f>'MASQUE DE SAISIE '!E30</f>
        <v>450</v>
      </c>
      <c r="H6" s="888"/>
      <c r="I6" s="888"/>
      <c r="J6" s="888"/>
    </row>
    <row r="7" spans="1:10" ht="15.75" customHeight="1" x14ac:dyDescent="0.3">
      <c r="A7" s="297" t="s">
        <v>8</v>
      </c>
      <c r="B7" s="885" t="str">
        <f>'MASQUE DE SAISIE '!G7</f>
        <v xml:space="preserve">7111C </v>
      </c>
      <c r="C7" s="886"/>
      <c r="D7" s="887"/>
      <c r="E7" s="298"/>
      <c r="F7" s="299" t="s">
        <v>9</v>
      </c>
      <c r="G7" s="892" t="str">
        <f>'MASQUE DE SAISIE '!E31</f>
        <v>1.63.11.59.52.55.</v>
      </c>
      <c r="H7" s="892"/>
      <c r="I7" s="892"/>
      <c r="J7" s="892"/>
    </row>
    <row r="8" spans="1:10" ht="15.75" customHeight="1" x14ac:dyDescent="0.3">
      <c r="A8" s="297" t="s">
        <v>10</v>
      </c>
      <c r="B8" s="889"/>
      <c r="C8" s="890"/>
      <c r="D8" s="891"/>
      <c r="E8" s="300"/>
      <c r="F8" s="301" t="s">
        <v>3</v>
      </c>
      <c r="G8" s="888" t="str">
        <f>'MASQUE DE SAISIE '!E28</f>
        <v xml:space="preserve">3 Rue Paul  92700 Colombes </v>
      </c>
      <c r="H8" s="888"/>
      <c r="I8" s="888"/>
      <c r="J8" s="888"/>
    </row>
    <row r="9" spans="1:10" ht="15.75" customHeight="1" x14ac:dyDescent="0.3">
      <c r="A9" s="297" t="s">
        <v>11</v>
      </c>
      <c r="B9" s="485">
        <f>'MASQUE DE SAISIE '!G9</f>
        <v>30</v>
      </c>
      <c r="C9" s="909" t="str">
        <f>IF('MASQUE DE SAISIE '!E34 = "","",'MASQUE DE SAISIE '!E34 )</f>
        <v/>
      </c>
      <c r="D9" s="887"/>
      <c r="E9" s="298"/>
      <c r="F9" s="905" t="s">
        <v>12</v>
      </c>
      <c r="G9" s="906"/>
      <c r="H9" s="303"/>
      <c r="I9" s="304">
        <f>'MASQUE DE SAISIE '!E33</f>
        <v>2</v>
      </c>
      <c r="J9" s="304" t="str">
        <f>'MASQUE DE SAISIE '!E32</f>
        <v>C</v>
      </c>
    </row>
    <row r="10" spans="1:10" ht="15.75" customHeight="1" x14ac:dyDescent="0.3">
      <c r="A10" s="632" t="s">
        <v>13</v>
      </c>
      <c r="B10" s="312">
        <f>'MASQUE DE SAISIE '!E46</f>
        <v>0</v>
      </c>
      <c r="C10" s="304" t="s">
        <v>14</v>
      </c>
      <c r="D10" s="414">
        <f>'MASQUE DE SAISIE '!E43</f>
        <v>0</v>
      </c>
      <c r="E10" s="298"/>
      <c r="F10" s="885" t="s">
        <v>227</v>
      </c>
      <c r="G10" s="887"/>
      <c r="H10" s="356">
        <f>'MASQUE DE SAISIE '!E38</f>
        <v>45658</v>
      </c>
      <c r="I10" s="308" t="s">
        <v>15</v>
      </c>
      <c r="J10" s="356">
        <f>'MASQUE DE SAISIE '!E39</f>
        <v>45688</v>
      </c>
    </row>
    <row r="11" spans="1:10" ht="30" customHeight="1" x14ac:dyDescent="0.3">
      <c r="A11" s="309"/>
      <c r="B11" s="878" t="s">
        <v>301</v>
      </c>
      <c r="C11" s="879"/>
      <c r="D11" s="880"/>
      <c r="E11" s="310"/>
      <c r="F11" s="309" t="s">
        <v>16</v>
      </c>
      <c r="G11" s="361">
        <f>'MASQUE DE SAISIE '!E39</f>
        <v>45688</v>
      </c>
      <c r="H11" s="61"/>
      <c r="I11" s="61"/>
      <c r="J11" s="362"/>
    </row>
    <row r="12" spans="1:10" ht="9.6" hidden="1" customHeight="1" x14ac:dyDescent="0.3">
      <c r="A12" s="881"/>
      <c r="B12" s="882"/>
      <c r="C12" s="882"/>
      <c r="D12" s="882"/>
      <c r="E12" s="882"/>
      <c r="F12" s="882"/>
      <c r="G12" s="882"/>
      <c r="H12" s="882"/>
      <c r="I12" s="882"/>
      <c r="J12" s="882"/>
    </row>
    <row r="13" spans="1:10" ht="17.25" customHeight="1" x14ac:dyDescent="0.3">
      <c r="A13" s="910" t="s">
        <v>17</v>
      </c>
      <c r="B13" s="911"/>
      <c r="C13" s="911"/>
      <c r="D13" s="911"/>
      <c r="E13" s="911"/>
      <c r="F13" s="912"/>
      <c r="G13" s="752" t="e">
        <f>'ENONCE '!#REF!</f>
        <v>#REF!</v>
      </c>
      <c r="H13" s="753" t="s">
        <v>18</v>
      </c>
      <c r="I13" s="754" t="e">
        <f>ROUND(J13/G13,2)</f>
        <v>#REF!</v>
      </c>
      <c r="J13" s="755" t="e">
        <f>'ENONCE '!#REF!</f>
        <v>#REF!</v>
      </c>
    </row>
    <row r="14" spans="1:10" ht="17.25" hidden="1" customHeight="1" x14ac:dyDescent="0.3">
      <c r="A14" s="910" t="s">
        <v>228</v>
      </c>
      <c r="B14" s="911"/>
      <c r="C14" s="911"/>
      <c r="D14" s="911"/>
      <c r="E14" s="911"/>
      <c r="F14" s="912"/>
      <c r="G14" s="753"/>
      <c r="H14" s="753"/>
      <c r="I14" s="754"/>
      <c r="J14" s="755"/>
    </row>
    <row r="15" spans="1:10" ht="17.25" hidden="1" customHeight="1" x14ac:dyDescent="0.3">
      <c r="A15" s="910" t="s">
        <v>915</v>
      </c>
      <c r="B15" s="911"/>
      <c r="C15" s="911"/>
      <c r="D15" s="911"/>
      <c r="E15" s="911"/>
      <c r="F15" s="912"/>
      <c r="G15" s="756"/>
      <c r="H15" s="757"/>
      <c r="I15" s="754"/>
      <c r="J15" s="755"/>
    </row>
    <row r="16" spans="1:10" ht="17.25" hidden="1" customHeight="1" x14ac:dyDescent="0.3">
      <c r="A16" s="910" t="s">
        <v>861</v>
      </c>
      <c r="B16" s="911"/>
      <c r="C16" s="911"/>
      <c r="D16" s="911"/>
      <c r="E16" s="911"/>
      <c r="F16" s="912"/>
      <c r="G16" s="756"/>
      <c r="H16" s="757"/>
      <c r="I16" s="754"/>
      <c r="J16" s="755"/>
    </row>
    <row r="17" spans="1:10" ht="17.25" hidden="1" customHeight="1" x14ac:dyDescent="0.3">
      <c r="A17" s="910" t="s">
        <v>19</v>
      </c>
      <c r="B17" s="911"/>
      <c r="C17" s="911"/>
      <c r="D17" s="911"/>
      <c r="E17" s="911"/>
      <c r="F17" s="912"/>
      <c r="G17" s="756"/>
      <c r="H17" s="757" t="s">
        <v>18</v>
      </c>
      <c r="I17" s="754"/>
      <c r="J17" s="755"/>
    </row>
    <row r="18" spans="1:10" ht="17.25" hidden="1" customHeight="1" x14ac:dyDescent="0.3">
      <c r="A18" s="910" t="s">
        <v>229</v>
      </c>
      <c r="B18" s="911"/>
      <c r="C18" s="911"/>
      <c r="D18" s="911"/>
      <c r="E18" s="911"/>
      <c r="F18" s="912"/>
      <c r="G18" s="756"/>
      <c r="H18" s="757" t="s">
        <v>18</v>
      </c>
      <c r="I18" s="754"/>
      <c r="J18" s="755">
        <f t="shared" ref="J18:J22" si="0">ROUND(G18*I18,2)</f>
        <v>0</v>
      </c>
    </row>
    <row r="19" spans="1:10" ht="17.25" hidden="1" customHeight="1" x14ac:dyDescent="0.3">
      <c r="A19" s="910" t="s">
        <v>230</v>
      </c>
      <c r="B19" s="911"/>
      <c r="C19" s="911"/>
      <c r="D19" s="911"/>
      <c r="E19" s="911"/>
      <c r="F19" s="912"/>
      <c r="G19" s="756"/>
      <c r="H19" s="757" t="s">
        <v>18</v>
      </c>
      <c r="I19" s="758" t="e">
        <f>ROUND((J13+J14+J16+J17)*1.25/G13,2)</f>
        <v>#REF!</v>
      </c>
      <c r="J19" s="755" t="e">
        <f t="shared" si="0"/>
        <v>#REF!</v>
      </c>
    </row>
    <row r="20" spans="1:10" ht="17.25" customHeight="1" x14ac:dyDescent="0.3">
      <c r="A20" s="910" t="s">
        <v>231</v>
      </c>
      <c r="B20" s="911"/>
      <c r="C20" s="911"/>
      <c r="D20" s="911"/>
      <c r="E20" s="911"/>
      <c r="F20" s="912"/>
      <c r="G20" s="756" t="e">
        <f>'ENONCE '!#REF!</f>
        <v>#REF!</v>
      </c>
      <c r="H20" s="757" t="s">
        <v>18</v>
      </c>
      <c r="I20" s="758" t="e">
        <f>'ENONCE '!#REF!</f>
        <v>#REF!</v>
      </c>
      <c r="J20" s="755" t="e">
        <f>'ENONCE '!#REF!</f>
        <v>#REF!</v>
      </c>
    </row>
    <row r="21" spans="1:10" ht="17.25" customHeight="1" x14ac:dyDescent="0.3">
      <c r="A21" s="910" t="s">
        <v>916</v>
      </c>
      <c r="B21" s="911"/>
      <c r="C21" s="911"/>
      <c r="D21" s="911"/>
      <c r="E21" s="911"/>
      <c r="F21" s="912"/>
      <c r="G21" s="759" t="e">
        <f>'ENONCE '!#REF!</f>
        <v>#REF!</v>
      </c>
      <c r="H21" s="760"/>
      <c r="I21" s="761" t="e">
        <f>I20</f>
        <v>#REF!</v>
      </c>
      <c r="J21" s="755" t="e">
        <f t="shared" si="0"/>
        <v>#REF!</v>
      </c>
    </row>
    <row r="22" spans="1:10" ht="17.25" hidden="1" customHeight="1" x14ac:dyDescent="0.3">
      <c r="A22" s="910" t="s">
        <v>917</v>
      </c>
      <c r="B22" s="911"/>
      <c r="C22" s="911"/>
      <c r="D22" s="911"/>
      <c r="E22" s="911"/>
      <c r="F22" s="912"/>
      <c r="G22" s="753"/>
      <c r="H22" s="757" t="s">
        <v>18</v>
      </c>
      <c r="I22" s="754" t="e">
        <f>+I21</f>
        <v>#REF!</v>
      </c>
      <c r="J22" s="755" t="e">
        <f t="shared" si="0"/>
        <v>#REF!</v>
      </c>
    </row>
    <row r="23" spans="1:10" ht="17.25" customHeight="1" x14ac:dyDescent="0.3">
      <c r="A23" s="910" t="s">
        <v>918</v>
      </c>
      <c r="B23" s="911"/>
      <c r="C23" s="911"/>
      <c r="D23" s="911"/>
      <c r="E23" s="911"/>
      <c r="F23" s="912"/>
      <c r="G23" s="762"/>
      <c r="H23" s="763"/>
      <c r="I23" s="764"/>
      <c r="J23" s="765" t="e">
        <f>'ENONCE '!#REF!</f>
        <v>#REF!</v>
      </c>
    </row>
    <row r="24" spans="1:10" ht="19.149999999999999" hidden="1" customHeight="1" x14ac:dyDescent="0.3">
      <c r="A24" s="870" t="s">
        <v>21</v>
      </c>
      <c r="B24" s="871"/>
      <c r="C24" s="871"/>
      <c r="D24" s="871"/>
      <c r="E24" s="871"/>
      <c r="F24" s="872"/>
      <c r="G24" s="311"/>
      <c r="H24" s="317"/>
      <c r="I24" s="305"/>
      <c r="J24" s="318"/>
    </row>
    <row r="25" spans="1:10" ht="19.149999999999999" hidden="1" customHeight="1" x14ac:dyDescent="0.3">
      <c r="A25" s="870" t="s">
        <v>22</v>
      </c>
      <c r="B25" s="871"/>
      <c r="C25" s="871"/>
      <c r="D25" s="871"/>
      <c r="E25" s="871"/>
      <c r="F25" s="872"/>
      <c r="G25" s="311"/>
      <c r="H25" s="317"/>
      <c r="I25" s="305"/>
      <c r="J25" s="318"/>
    </row>
    <row r="26" spans="1:10" ht="19.149999999999999" hidden="1" customHeight="1" x14ac:dyDescent="0.3">
      <c r="A26" s="870" t="s">
        <v>23</v>
      </c>
      <c r="B26" s="871"/>
      <c r="C26" s="871"/>
      <c r="D26" s="871"/>
      <c r="E26" s="871"/>
      <c r="F26" s="872"/>
      <c r="G26" s="311"/>
      <c r="H26" s="317"/>
      <c r="I26" s="305"/>
      <c r="J26" s="318"/>
    </row>
    <row r="27" spans="1:10" ht="19.149999999999999" hidden="1" customHeight="1" x14ac:dyDescent="0.3">
      <c r="A27" s="870" t="s">
        <v>24</v>
      </c>
      <c r="B27" s="871"/>
      <c r="C27" s="871"/>
      <c r="D27" s="871"/>
      <c r="E27" s="871"/>
      <c r="F27" s="872"/>
      <c r="G27" s="311"/>
      <c r="H27" s="317"/>
      <c r="I27" s="305"/>
      <c r="J27" s="318"/>
    </row>
    <row r="28" spans="1:10" ht="19.149999999999999" hidden="1" customHeight="1" x14ac:dyDescent="0.3">
      <c r="A28" s="870" t="s">
        <v>25</v>
      </c>
      <c r="B28" s="871"/>
      <c r="C28" s="871"/>
      <c r="D28" s="871"/>
      <c r="E28" s="871"/>
      <c r="F28" s="872"/>
      <c r="G28" s="311"/>
      <c r="H28" s="317"/>
      <c r="I28" s="305"/>
      <c r="J28" s="318"/>
    </row>
    <row r="29" spans="1:10" ht="19.149999999999999" hidden="1" customHeight="1" x14ac:dyDescent="0.3">
      <c r="A29" s="870" t="s">
        <v>26</v>
      </c>
      <c r="B29" s="871"/>
      <c r="C29" s="871"/>
      <c r="D29" s="871"/>
      <c r="E29" s="871"/>
      <c r="F29" s="872"/>
      <c r="G29" s="311"/>
      <c r="H29" s="317"/>
      <c r="I29" s="305"/>
      <c r="J29" s="318"/>
    </row>
    <row r="30" spans="1:10" ht="19.149999999999999" hidden="1" customHeight="1" x14ac:dyDescent="0.3">
      <c r="A30" s="870" t="s">
        <v>27</v>
      </c>
      <c r="B30" s="871"/>
      <c r="C30" s="871"/>
      <c r="D30" s="871"/>
      <c r="E30" s="871"/>
      <c r="F30" s="872"/>
      <c r="G30" s="311"/>
      <c r="H30" s="317"/>
      <c r="I30" s="305"/>
      <c r="J30" s="318"/>
    </row>
    <row r="31" spans="1:10" ht="19.149999999999999" hidden="1" customHeight="1" x14ac:dyDescent="0.3">
      <c r="A31" s="870" t="s">
        <v>28</v>
      </c>
      <c r="B31" s="871"/>
      <c r="C31" s="871"/>
      <c r="D31" s="871"/>
      <c r="E31" s="871"/>
      <c r="F31" s="872"/>
      <c r="G31" s="311"/>
      <c r="H31" s="317"/>
      <c r="I31" s="305"/>
      <c r="J31" s="318"/>
    </row>
    <row r="32" spans="1:10" ht="19.149999999999999" hidden="1" customHeight="1" x14ac:dyDescent="0.3">
      <c r="A32" s="870"/>
      <c r="B32" s="871"/>
      <c r="C32" s="871"/>
      <c r="D32" s="871"/>
      <c r="E32" s="871"/>
      <c r="F32" s="872"/>
      <c r="G32" s="311"/>
      <c r="H32" s="317"/>
      <c r="I32" s="305"/>
      <c r="J32" s="318"/>
    </row>
    <row r="33" spans="1:10" ht="19.149999999999999" customHeight="1" x14ac:dyDescent="0.3">
      <c r="A33" s="873" t="s">
        <v>29</v>
      </c>
      <c r="B33" s="874"/>
      <c r="C33" s="319">
        <f>'[3]MASQUE DE SAISIE '!E44</f>
        <v>3925</v>
      </c>
      <c r="D33" s="875" t="s">
        <v>30</v>
      </c>
      <c r="E33" s="875"/>
      <c r="F33" s="875"/>
      <c r="G33" s="875"/>
      <c r="H33" s="875"/>
      <c r="I33" s="875"/>
      <c r="J33" s="766" t="e">
        <f>SUM(J13:J32)</f>
        <v>#REF!</v>
      </c>
    </row>
    <row r="34" spans="1:10" ht="10.15" hidden="1" customHeight="1" x14ac:dyDescent="0.3">
      <c r="A34" s="913"/>
      <c r="B34" s="914"/>
      <c r="C34" s="914"/>
      <c r="D34" s="914"/>
      <c r="E34" s="914"/>
      <c r="F34" s="914"/>
      <c r="G34" s="914"/>
      <c r="H34" s="914"/>
      <c r="I34" s="914"/>
      <c r="J34" s="915"/>
    </row>
    <row r="35" spans="1:10" ht="21" customHeight="1" x14ac:dyDescent="0.3">
      <c r="A35" s="916" t="s">
        <v>282</v>
      </c>
      <c r="B35" s="917"/>
      <c r="C35" s="354" t="s">
        <v>32</v>
      </c>
      <c r="D35" s="355" t="s">
        <v>33</v>
      </c>
      <c r="E35" s="355" t="s">
        <v>34</v>
      </c>
      <c r="F35" s="354" t="s">
        <v>35</v>
      </c>
      <c r="G35" s="354" t="s">
        <v>36</v>
      </c>
      <c r="H35" s="258"/>
    </row>
    <row r="36" spans="1:10" ht="17.45" customHeight="1" x14ac:dyDescent="0.3">
      <c r="A36" s="924" t="s">
        <v>37</v>
      </c>
      <c r="B36" s="925"/>
      <c r="C36" s="927"/>
      <c r="D36" s="928"/>
      <c r="E36" s="928"/>
      <c r="F36" s="928"/>
      <c r="G36" s="929"/>
    </row>
    <row r="37" spans="1:10" ht="19.899999999999999" customHeight="1" x14ac:dyDescent="0.3">
      <c r="A37" s="861" t="s">
        <v>265</v>
      </c>
      <c r="B37" s="855"/>
      <c r="C37" s="320" t="e">
        <f>J33</f>
        <v>#REF!</v>
      </c>
      <c r="D37" s="321"/>
      <c r="E37" s="321">
        <f>VLOOKUP(A37,TAUX2023,4,FALSE)</f>
        <v>7.0000000000000007E-2</v>
      </c>
      <c r="F37" s="322"/>
      <c r="G37" s="320" t="e">
        <f>ROUND(C37*E37,2)</f>
        <v>#REF!</v>
      </c>
      <c r="J37" s="216"/>
    </row>
    <row r="38" spans="1:10" ht="21.6" customHeight="1" x14ac:dyDescent="0.3">
      <c r="A38" s="861" t="s">
        <v>199</v>
      </c>
      <c r="B38" s="855"/>
      <c r="C38" s="323" t="e">
        <f>IF(J33&gt;2.25*B10*D10,J33,0)</f>
        <v>#REF!</v>
      </c>
      <c r="D38" s="321"/>
      <c r="E38" s="321">
        <f>VLOOKUP(A38,TAUX2023,4,FALSE)</f>
        <v>0.06</v>
      </c>
      <c r="F38" s="322"/>
      <c r="G38" s="320" t="e">
        <f t="shared" ref="G38:G62" si="1">ROUND(C38*E38,2)</f>
        <v>#REF!</v>
      </c>
      <c r="J38" s="216"/>
    </row>
    <row r="39" spans="1:10" ht="21.6" hidden="1" customHeight="1" x14ac:dyDescent="0.3">
      <c r="A39" s="928"/>
      <c r="B39" s="929"/>
      <c r="C39" s="320"/>
      <c r="D39" s="324"/>
      <c r="E39" s="324"/>
      <c r="F39" s="322">
        <f t="shared" ref="F39:F70" si="2">ROUND(C39*D39,2)</f>
        <v>0</v>
      </c>
      <c r="G39" s="320">
        <f t="shared" si="1"/>
        <v>0</v>
      </c>
      <c r="J39" s="42"/>
    </row>
    <row r="40" spans="1:10" ht="21.6" hidden="1" customHeight="1" x14ac:dyDescent="0.3">
      <c r="A40" s="861" t="s">
        <v>243</v>
      </c>
      <c r="B40" s="855"/>
      <c r="C40" s="320">
        <f>IF(I9=1,J33,0)</f>
        <v>0</v>
      </c>
      <c r="D40" s="321">
        <f>'MASQUE DE SAISIE '!G12</f>
        <v>0</v>
      </c>
      <c r="E40" s="321">
        <f>'MASQUE DE SAISIE '!H12</f>
        <v>0</v>
      </c>
      <c r="F40" s="322">
        <f t="shared" si="2"/>
        <v>0</v>
      </c>
      <c r="G40" s="320">
        <f t="shared" si="1"/>
        <v>0</v>
      </c>
      <c r="J40" s="42"/>
    </row>
    <row r="41" spans="1:10" ht="21.6" hidden="1" customHeight="1" x14ac:dyDescent="0.3">
      <c r="A41" s="926"/>
      <c r="B41" s="926"/>
      <c r="C41" s="320"/>
      <c r="D41" s="321"/>
      <c r="E41" s="321"/>
      <c r="F41" s="322">
        <f t="shared" si="2"/>
        <v>0</v>
      </c>
      <c r="G41" s="320">
        <f t="shared" si="1"/>
        <v>0</v>
      </c>
      <c r="J41" s="42"/>
    </row>
    <row r="42" spans="1:10" ht="21.6" hidden="1" customHeight="1" x14ac:dyDescent="0.3">
      <c r="A42" s="926"/>
      <c r="B42" s="926"/>
      <c r="C42" s="324"/>
      <c r="D42" s="324"/>
      <c r="E42" s="324"/>
      <c r="F42" s="322">
        <f t="shared" si="2"/>
        <v>0</v>
      </c>
      <c r="G42" s="320">
        <f t="shared" si="1"/>
        <v>0</v>
      </c>
      <c r="J42" s="42"/>
    </row>
    <row r="43" spans="1:10" ht="17.45" customHeight="1" x14ac:dyDescent="0.3">
      <c r="A43" s="861" t="s">
        <v>195</v>
      </c>
      <c r="B43" s="855"/>
      <c r="C43" s="320" t="e">
        <f>IF(I9=2,J33,0)</f>
        <v>#REF!</v>
      </c>
      <c r="D43" s="321">
        <f>'MASQUE DE SAISIE '!G15</f>
        <v>8.0000000000000002E-3</v>
      </c>
      <c r="E43" s="321">
        <f>'MASQUE DE SAISIE '!H15</f>
        <v>1.7000000000000001E-2</v>
      </c>
      <c r="F43" s="322" t="e">
        <f t="shared" si="2"/>
        <v>#REF!</v>
      </c>
      <c r="G43" s="320" t="e">
        <f t="shared" si="1"/>
        <v>#REF!</v>
      </c>
      <c r="J43" s="42"/>
    </row>
    <row r="44" spans="1:10" ht="21.6" customHeight="1" x14ac:dyDescent="0.3">
      <c r="A44" s="861" t="s">
        <v>200</v>
      </c>
      <c r="B44" s="855"/>
      <c r="C44" s="320" t="e">
        <f>IF(I9=2,IF(E75=0,IF(J33&gt;C33,C33,J33),0),0)</f>
        <v>#REF!</v>
      </c>
      <c r="D44" s="321"/>
      <c r="E44" s="321">
        <f>VLOOKUP(A44,TAUX2023,4,FALSE)</f>
        <v>1.4999999999999999E-2</v>
      </c>
      <c r="F44" s="333" t="e">
        <f>ROUND(C44*D44,2)</f>
        <v>#REF!</v>
      </c>
      <c r="G44" s="205" t="e">
        <f>ROUND(C44*E44,2)</f>
        <v>#REF!</v>
      </c>
      <c r="J44" s="42"/>
    </row>
    <row r="45" spans="1:10" ht="21.6" hidden="1" customHeight="1" x14ac:dyDescent="0.3">
      <c r="A45" s="861"/>
      <c r="B45" s="855"/>
      <c r="C45" s="602"/>
      <c r="D45" s="228"/>
      <c r="E45" s="228"/>
      <c r="F45" s="602"/>
      <c r="G45" s="602"/>
      <c r="J45" s="42"/>
    </row>
    <row r="46" spans="1:10" ht="21.6" hidden="1" customHeight="1" x14ac:dyDescent="0.3">
      <c r="A46" s="861"/>
      <c r="B46" s="855"/>
      <c r="C46" s="320"/>
      <c r="D46" s="321"/>
      <c r="E46" s="321"/>
      <c r="F46" s="322"/>
      <c r="G46" s="320"/>
      <c r="J46" s="42"/>
    </row>
    <row r="47" spans="1:10" ht="21.6" hidden="1" customHeight="1" x14ac:dyDescent="0.3">
      <c r="A47" s="861"/>
      <c r="B47" s="855"/>
      <c r="C47" s="320"/>
      <c r="D47" s="321"/>
      <c r="E47" s="321"/>
      <c r="F47" s="322">
        <f t="shared" si="2"/>
        <v>0</v>
      </c>
      <c r="G47" s="320">
        <f t="shared" si="1"/>
        <v>0</v>
      </c>
      <c r="J47" s="42"/>
    </row>
    <row r="48" spans="1:10" ht="21.6" hidden="1" customHeight="1" x14ac:dyDescent="0.3">
      <c r="A48" s="861"/>
      <c r="B48" s="855"/>
      <c r="C48" s="320"/>
      <c r="D48" s="324"/>
      <c r="E48" s="324"/>
      <c r="F48" s="322">
        <f t="shared" si="2"/>
        <v>0</v>
      </c>
      <c r="G48" s="320">
        <f t="shared" si="1"/>
        <v>0</v>
      </c>
      <c r="J48" s="42"/>
    </row>
    <row r="49" spans="1:17" ht="21.6" customHeight="1" x14ac:dyDescent="0.3">
      <c r="A49" s="918" t="s">
        <v>38</v>
      </c>
      <c r="B49" s="919"/>
      <c r="C49" s="326" t="e">
        <f>J33</f>
        <v>#REF!</v>
      </c>
      <c r="D49" s="321"/>
      <c r="E49" s="321">
        <f>'MASQUE DE SAISIE '!H21</f>
        <v>1.4999999999999999E-2</v>
      </c>
      <c r="F49" s="322"/>
      <c r="G49" s="320" t="e">
        <f t="shared" si="1"/>
        <v>#REF!</v>
      </c>
      <c r="J49" s="42"/>
      <c r="L49" s="934"/>
    </row>
    <row r="50" spans="1:17" ht="19.899999999999999" customHeight="1" x14ac:dyDescent="0.3">
      <c r="A50" s="918" t="s">
        <v>39</v>
      </c>
      <c r="B50" s="919"/>
      <c r="C50" s="327"/>
      <c r="D50" s="321"/>
      <c r="E50" s="321"/>
      <c r="F50" s="322"/>
      <c r="G50" s="320"/>
      <c r="L50" s="934"/>
    </row>
    <row r="51" spans="1:17" ht="15" customHeight="1" x14ac:dyDescent="0.3">
      <c r="A51" s="920" t="s">
        <v>40</v>
      </c>
      <c r="B51" s="921"/>
      <c r="C51" s="320" t="e">
        <f>IF(J33&gt;C33,C33,J33)</f>
        <v>#REF!</v>
      </c>
      <c r="D51" s="321">
        <f>VLOOKUP(A51,TAUX2023,3,FALSE)</f>
        <v>6.9000000000000006E-2</v>
      </c>
      <c r="E51" s="321">
        <f>VLOOKUP(A51,TAUX2023,4,FALSE)</f>
        <v>8.5500000000000007E-2</v>
      </c>
      <c r="F51" s="322" t="e">
        <f t="shared" si="2"/>
        <v>#REF!</v>
      </c>
      <c r="G51" s="320" t="e">
        <f t="shared" si="1"/>
        <v>#REF!</v>
      </c>
    </row>
    <row r="52" spans="1:17" ht="15" customHeight="1" x14ac:dyDescent="0.3">
      <c r="A52" s="920" t="s">
        <v>41</v>
      </c>
      <c r="B52" s="921"/>
      <c r="C52" s="320" t="e">
        <f>J33</f>
        <v>#REF!</v>
      </c>
      <c r="D52" s="321">
        <f>VLOOKUP(A52,TAUX2023,3,FALSE)</f>
        <v>4.0000000000000001E-3</v>
      </c>
      <c r="E52" s="321">
        <f>VLOOKUP(A52,TAUX2023,4,FALSE)</f>
        <v>2.0199999999999999E-2</v>
      </c>
      <c r="F52" s="322" t="e">
        <f t="shared" si="2"/>
        <v>#REF!</v>
      </c>
      <c r="G52" s="320" t="e">
        <f t="shared" si="1"/>
        <v>#REF!</v>
      </c>
    </row>
    <row r="53" spans="1:17" ht="13.15" customHeight="1" x14ac:dyDescent="0.3">
      <c r="A53" s="920" t="s">
        <v>42</v>
      </c>
      <c r="B53" s="921"/>
      <c r="C53" s="320" t="e">
        <f>IF(J33&gt;C33,C33,J33)</f>
        <v>#REF!</v>
      </c>
      <c r="D53" s="328" t="e">
        <f>IF(J33&gt;C33,'TABLE DES TAUX 2025 '!D72,'TABLE DES TAUX 2025 '!B72)</f>
        <v>#REF!</v>
      </c>
      <c r="E53" s="328" t="e">
        <f>IF(J33&gt;C33,'TABLE DES TAUX 2025 '!E72,'TABLE DES TAUX 2025 '!C72)</f>
        <v>#REF!</v>
      </c>
      <c r="F53" s="322" t="e">
        <f t="shared" si="2"/>
        <v>#REF!</v>
      </c>
      <c r="G53" s="320" t="e">
        <f t="shared" si="1"/>
        <v>#REF!</v>
      </c>
      <c r="H53" s="218"/>
      <c r="I53" s="219"/>
      <c r="J53" s="220"/>
      <c r="K53" s="220"/>
      <c r="M53" s="939"/>
      <c r="N53" s="939"/>
      <c r="O53" s="939"/>
    </row>
    <row r="54" spans="1:17" ht="15" hidden="1" customHeight="1" x14ac:dyDescent="0.3">
      <c r="A54" s="920" t="s">
        <v>43</v>
      </c>
      <c r="B54" s="921"/>
      <c r="C54" s="329" t="e">
        <f>IF(J33&gt;C33,IF(J33&gt;8*C33,7*C33,J33-C33),0)</f>
        <v>#REF!</v>
      </c>
      <c r="D54" s="328" t="e">
        <f>IF(J33&gt;C33,'TABLE DES TAUX 2025 '!D78,0)</f>
        <v>#REF!</v>
      </c>
      <c r="E54" s="330" t="e">
        <f>IF(J33&gt;C33,'TABLE DES TAUX 2025 '!E78,0)</f>
        <v>#REF!</v>
      </c>
      <c r="F54" s="322" t="e">
        <f t="shared" si="2"/>
        <v>#REF!</v>
      </c>
      <c r="G54" s="320" t="e">
        <f t="shared" si="1"/>
        <v>#REF!</v>
      </c>
      <c r="H54" s="218"/>
      <c r="I54" s="219"/>
      <c r="J54" s="220"/>
      <c r="K54" s="220"/>
      <c r="M54" s="940"/>
      <c r="N54" s="940"/>
      <c r="O54" s="222"/>
      <c r="P54" s="223"/>
      <c r="Q54" s="222"/>
    </row>
    <row r="55" spans="1:17" ht="17.45" hidden="1" customHeight="1" x14ac:dyDescent="0.3">
      <c r="A55" s="931"/>
      <c r="B55" s="932"/>
      <c r="C55" s="320"/>
      <c r="D55" s="330"/>
      <c r="E55" s="330">
        <f>IF(I33&gt;B32,'TABLE DES TAUX 2025 '!E77,0)</f>
        <v>0</v>
      </c>
      <c r="F55" s="322">
        <f t="shared" si="2"/>
        <v>0</v>
      </c>
      <c r="G55" s="320">
        <f t="shared" si="1"/>
        <v>0</v>
      </c>
      <c r="H55" s="218"/>
      <c r="I55" s="219"/>
      <c r="J55" s="220"/>
      <c r="K55" s="220"/>
      <c r="M55" s="221"/>
      <c r="N55" s="221"/>
      <c r="O55" s="222"/>
      <c r="P55" s="223"/>
      <c r="Q55" s="222"/>
    </row>
    <row r="56" spans="1:17" ht="17.45" hidden="1" customHeight="1" x14ac:dyDescent="0.3">
      <c r="A56" s="931"/>
      <c r="B56" s="932"/>
      <c r="C56" s="320"/>
      <c r="D56" s="330"/>
      <c r="E56" s="330">
        <f>IF(I34&gt;B33,'TABLE DES TAUX 2025 '!E78,0)</f>
        <v>0</v>
      </c>
      <c r="F56" s="322">
        <f t="shared" si="2"/>
        <v>0</v>
      </c>
      <c r="G56" s="320">
        <f t="shared" si="1"/>
        <v>0</v>
      </c>
      <c r="H56" s="218"/>
      <c r="I56" s="219"/>
      <c r="J56" s="220"/>
      <c r="K56" s="220"/>
      <c r="M56" s="221"/>
      <c r="N56" s="221"/>
      <c r="O56" s="222"/>
      <c r="P56" s="223"/>
      <c r="Q56" s="222"/>
    </row>
    <row r="57" spans="1:17" ht="17.45" customHeight="1" x14ac:dyDescent="0.3">
      <c r="A57" s="922" t="s">
        <v>44</v>
      </c>
      <c r="B57" s="923"/>
      <c r="C57" s="320"/>
      <c r="D57" s="321"/>
      <c r="E57" s="330"/>
      <c r="F57" s="322"/>
      <c r="G57" s="320"/>
      <c r="H57" s="218"/>
      <c r="I57" s="933"/>
      <c r="J57" s="933"/>
      <c r="M57" s="930"/>
      <c r="N57" s="930"/>
      <c r="P57" s="225"/>
      <c r="Q57" s="216"/>
    </row>
    <row r="58" spans="1:17" ht="15.6" customHeight="1" x14ac:dyDescent="0.3">
      <c r="A58" s="920" t="s">
        <v>244</v>
      </c>
      <c r="B58" s="921"/>
      <c r="C58" s="320" t="e">
        <f>J33</f>
        <v>#REF!</v>
      </c>
      <c r="D58" s="321"/>
      <c r="E58" s="294">
        <f>VLOOKUP(A58,TAUX2023,4,FALSE)</f>
        <v>3.4500000000000003E-2</v>
      </c>
      <c r="F58" s="322"/>
      <c r="G58" s="320" t="e">
        <f t="shared" si="1"/>
        <v>#REF!</v>
      </c>
      <c r="H58" s="218"/>
      <c r="I58" s="259"/>
      <c r="J58" s="259"/>
      <c r="M58" s="224"/>
      <c r="N58" s="224"/>
      <c r="P58" s="225"/>
      <c r="Q58" s="216"/>
    </row>
    <row r="59" spans="1:17" ht="15.6" hidden="1" customHeight="1" x14ac:dyDescent="0.3">
      <c r="A59" s="920" t="s">
        <v>245</v>
      </c>
      <c r="B59" s="921"/>
      <c r="C59" s="320" t="e">
        <f>IF(J33&gt;3.3*B10*'TABLE DES TAUX 2025 '!C52,J33,0)</f>
        <v>#REF!</v>
      </c>
      <c r="D59" s="321"/>
      <c r="E59" s="294">
        <f>VLOOKUP(A59,TAUX2023,4,FALSE)</f>
        <v>1.7999999999999999E-2</v>
      </c>
      <c r="F59" s="322"/>
      <c r="G59" s="320" t="e">
        <f t="shared" si="1"/>
        <v>#REF!</v>
      </c>
      <c r="H59" s="218"/>
      <c r="I59" s="23"/>
      <c r="J59" s="259"/>
      <c r="M59" s="224"/>
      <c r="N59" s="224"/>
      <c r="P59" s="225"/>
      <c r="Q59" s="216"/>
    </row>
    <row r="60" spans="1:17" ht="18.600000000000001" customHeight="1" x14ac:dyDescent="0.3">
      <c r="A60" s="922" t="s">
        <v>45</v>
      </c>
      <c r="B60" s="923"/>
      <c r="C60" s="324"/>
      <c r="D60" s="331"/>
      <c r="E60" s="330"/>
      <c r="F60" s="322"/>
      <c r="G60" s="320"/>
      <c r="H60" s="226"/>
      <c r="I60" s="23"/>
      <c r="J60" s="259"/>
      <c r="M60" s="930"/>
      <c r="N60" s="930"/>
      <c r="O60" s="227"/>
      <c r="Q60" s="24">
        <v>1.546</v>
      </c>
    </row>
    <row r="61" spans="1:17" ht="16.149999999999999" customHeight="1" x14ac:dyDescent="0.3">
      <c r="A61" s="908" t="s">
        <v>819</v>
      </c>
      <c r="B61" s="861"/>
      <c r="C61" s="325" t="e">
        <f>IF(J33&gt;C33,IF(J33&gt;4*C33,4*C33,J33),J33)</f>
        <v>#REF!</v>
      </c>
      <c r="D61" s="330"/>
      <c r="E61" s="546">
        <f>IF(H10&gt;=45778,4%,4.05%)+'TABLE DES TAUX 2025 '!D14</f>
        <v>4.3000000000000003E-2</v>
      </c>
      <c r="F61" s="322"/>
      <c r="G61" s="320" t="e">
        <f t="shared" si="1"/>
        <v>#REF!</v>
      </c>
      <c r="H61" s="226"/>
      <c r="I61" s="23"/>
      <c r="J61" s="259"/>
      <c r="M61" s="224"/>
      <c r="N61" s="224"/>
      <c r="O61" s="227"/>
    </row>
    <row r="62" spans="1:17" ht="13.9" customHeight="1" x14ac:dyDescent="0.3">
      <c r="A62" s="908" t="s">
        <v>271</v>
      </c>
      <c r="B62" s="861"/>
      <c r="C62" s="325" t="e">
        <f>IF(I9=2,C61,0)</f>
        <v>#REF!</v>
      </c>
      <c r="D62" s="332">
        <f>VLOOKUP(A62,TAUX2023,3,FALSE)</f>
        <v>2.4000000000000001E-4</v>
      </c>
      <c r="E62" s="332">
        <f>VLOOKUP(A62,TAUX2023,4,FALSE)</f>
        <v>3.6000000000000002E-4</v>
      </c>
      <c r="F62" s="322" t="e">
        <f t="shared" si="2"/>
        <v>#REF!</v>
      </c>
      <c r="G62" s="320" t="e">
        <f t="shared" si="1"/>
        <v>#REF!</v>
      </c>
      <c r="H62" s="226"/>
      <c r="J62" s="42"/>
      <c r="M62" s="224"/>
      <c r="N62" s="224"/>
      <c r="O62" s="227"/>
    </row>
    <row r="63" spans="1:17" ht="33" customHeight="1" x14ac:dyDescent="0.3">
      <c r="A63" s="922" t="s">
        <v>820</v>
      </c>
      <c r="B63" s="923"/>
      <c r="C63" s="320"/>
      <c r="D63" s="320"/>
      <c r="E63" s="333"/>
      <c r="F63" s="322"/>
      <c r="G63" s="320" t="e">
        <f>E131</f>
        <v>#REF!</v>
      </c>
      <c r="M63" s="930"/>
      <c r="N63" s="930"/>
      <c r="O63" s="218"/>
    </row>
    <row r="64" spans="1:17" ht="34.5" hidden="1" customHeight="1" x14ac:dyDescent="0.3">
      <c r="A64" s="941" t="s">
        <v>47</v>
      </c>
      <c r="B64" s="942"/>
      <c r="C64" s="334"/>
      <c r="D64" s="335"/>
      <c r="E64" s="336"/>
      <c r="F64" s="322"/>
      <c r="G64" s="320"/>
      <c r="I64" s="23"/>
      <c r="J64" s="259"/>
    </row>
    <row r="65" spans="1:11" ht="19.149999999999999" customHeight="1" x14ac:dyDescent="0.3">
      <c r="A65" s="943" t="s">
        <v>48</v>
      </c>
      <c r="B65" s="943"/>
      <c r="C65" s="329" t="e">
        <f>'HEURES SUPPLEMENTAIRES '!F136</f>
        <v>#REF!</v>
      </c>
      <c r="D65" s="337">
        <f>VLOOKUP(A65,TAUX2023,3,FALSE)</f>
        <v>6.8000000000000005E-2</v>
      </c>
      <c r="E65" s="320"/>
      <c r="F65" s="322" t="e">
        <f t="shared" si="2"/>
        <v>#REF!</v>
      </c>
      <c r="G65" s="320"/>
      <c r="I65" s="23"/>
      <c r="J65" s="259"/>
    </row>
    <row r="66" spans="1:11" ht="19.149999999999999" customHeight="1" x14ac:dyDescent="0.3">
      <c r="A66" s="943" t="s">
        <v>49</v>
      </c>
      <c r="B66" s="943"/>
      <c r="C66" s="329" t="e">
        <f>C65</f>
        <v>#REF!</v>
      </c>
      <c r="D66" s="337">
        <f>VLOOKUP(A66,TAUX2023,3,FALSE)</f>
        <v>2.9000000000000001E-2</v>
      </c>
      <c r="E66" s="320"/>
      <c r="F66" s="322" t="e">
        <f t="shared" si="2"/>
        <v>#REF!</v>
      </c>
      <c r="G66" s="320"/>
      <c r="I66" s="23"/>
      <c r="J66" s="259"/>
      <c r="K66" s="216"/>
    </row>
    <row r="67" spans="1:11" ht="19.149999999999999" customHeight="1" x14ac:dyDescent="0.3">
      <c r="A67" s="943" t="s">
        <v>236</v>
      </c>
      <c r="B67" s="943"/>
      <c r="C67" s="329" t="e">
        <f>'HEURES SUPPLEMENTAIRES '!F137</f>
        <v>#REF!</v>
      </c>
      <c r="D67" s="337">
        <f>D65</f>
        <v>6.8000000000000005E-2</v>
      </c>
      <c r="E67" s="320"/>
      <c r="F67" s="322" t="e">
        <f t="shared" si="2"/>
        <v>#REF!</v>
      </c>
      <c r="G67" s="320"/>
      <c r="J67" s="216"/>
      <c r="K67" s="216"/>
    </row>
    <row r="68" spans="1:11" ht="19.149999999999999" hidden="1" customHeight="1" x14ac:dyDescent="0.3">
      <c r="A68" s="943" t="s">
        <v>237</v>
      </c>
      <c r="B68" s="943"/>
      <c r="C68" s="329" t="e">
        <f>'HEURES SUPPLEMENTAIRES '!F138</f>
        <v>#REF!</v>
      </c>
      <c r="D68" s="337">
        <f>D65</f>
        <v>6.8000000000000005E-2</v>
      </c>
      <c r="E68" s="320"/>
      <c r="F68" s="322" t="e">
        <f t="shared" si="2"/>
        <v>#REF!</v>
      </c>
      <c r="G68" s="320"/>
      <c r="J68" s="216"/>
      <c r="K68" s="216"/>
    </row>
    <row r="69" spans="1:11" ht="27" customHeight="1" x14ac:dyDescent="0.3">
      <c r="A69" s="943" t="s">
        <v>238</v>
      </c>
      <c r="B69" s="943"/>
      <c r="C69" s="320" t="e">
        <f>+C67+C68</f>
        <v>#REF!</v>
      </c>
      <c r="D69" s="337">
        <f>D66</f>
        <v>2.9000000000000001E-2</v>
      </c>
      <c r="E69" s="320"/>
      <c r="F69" s="322" t="e">
        <f t="shared" si="2"/>
        <v>#REF!</v>
      </c>
      <c r="G69" s="320"/>
      <c r="J69" s="216"/>
      <c r="K69" s="216"/>
    </row>
    <row r="70" spans="1:11" ht="25.15" customHeight="1" x14ac:dyDescent="0.3">
      <c r="A70" s="922" t="s">
        <v>274</v>
      </c>
      <c r="B70" s="923"/>
      <c r="C70" s="338"/>
      <c r="D70" s="338"/>
      <c r="E70" s="339"/>
      <c r="F70" s="322">
        <f t="shared" si="2"/>
        <v>0</v>
      </c>
      <c r="G70" s="295" t="e">
        <f>-'HEURES SUPPLEMENTAIRES '!A145-'Red Gen de CoBP Format Juillet'!J16</f>
        <v>#REF!</v>
      </c>
      <c r="J70" s="216"/>
      <c r="K70" s="216"/>
    </row>
    <row r="71" spans="1:11" ht="25.15" customHeight="1" x14ac:dyDescent="0.3">
      <c r="A71" s="943" t="s">
        <v>53</v>
      </c>
      <c r="B71" s="943"/>
      <c r="C71" s="320" t="e">
        <f>'HEURES SUPPLEMENTAIRES '!E57</f>
        <v>#REF!</v>
      </c>
      <c r="D71" s="340" t="e">
        <f>+'HEURES SUPPLEMENTAIRES '!D57</f>
        <v>#REF!</v>
      </c>
      <c r="E71" s="341"/>
      <c r="F71" s="322" t="e">
        <f>-ROUND(C71*D71,2)</f>
        <v>#REF!</v>
      </c>
      <c r="G71" s="342"/>
      <c r="J71" s="216"/>
      <c r="K71" s="216"/>
    </row>
    <row r="72" spans="1:11" ht="18.600000000000001" customHeight="1" x14ac:dyDescent="0.3">
      <c r="A72" s="908" t="s">
        <v>54</v>
      </c>
      <c r="B72" s="861"/>
      <c r="C72" s="320"/>
      <c r="D72" s="320"/>
      <c r="E72" s="333"/>
      <c r="F72" s="343" t="e">
        <f>SUM(F37:F71)</f>
        <v>#REF!</v>
      </c>
      <c r="G72" s="344" t="e">
        <f>SUM(G37:G71)</f>
        <v>#REF!</v>
      </c>
      <c r="J72" s="216"/>
    </row>
    <row r="73" spans="1:11" ht="17.45" customHeight="1" x14ac:dyDescent="0.3">
      <c r="A73" s="944" t="s">
        <v>246</v>
      </c>
      <c r="B73" s="945"/>
      <c r="C73" s="320"/>
      <c r="D73" s="320"/>
      <c r="E73" s="333"/>
      <c r="F73" s="333"/>
      <c r="G73" s="320"/>
      <c r="H73" s="216"/>
      <c r="I73" s="216"/>
    </row>
    <row r="74" spans="1:11" ht="17.45" hidden="1" customHeight="1" x14ac:dyDescent="0.3">
      <c r="A74" s="908" t="s">
        <v>247</v>
      </c>
      <c r="B74" s="861"/>
      <c r="C74" s="320">
        <f>IF(I9=1,J33,0)</f>
        <v>0</v>
      </c>
      <c r="D74" s="337">
        <f>'MASQUE DE SAISIE '!G13</f>
        <v>0</v>
      </c>
      <c r="E74" s="337">
        <f>'MASQUE DE SAISIE '!H13</f>
        <v>0</v>
      </c>
      <c r="F74" s="333">
        <f>ROUND(C74*D74,2)</f>
        <v>0</v>
      </c>
      <c r="G74" s="205">
        <f>ROUND(C74*E74,2)</f>
        <v>0</v>
      </c>
      <c r="I74" s="216"/>
    </row>
    <row r="75" spans="1:11" ht="17.45" hidden="1" customHeight="1" x14ac:dyDescent="0.3">
      <c r="A75" s="908" t="s">
        <v>248</v>
      </c>
      <c r="B75" s="861"/>
      <c r="C75" s="320" t="e">
        <f>IF(I9=2,J33,0)</f>
        <v>#REF!</v>
      </c>
      <c r="D75" s="337">
        <f>'MASQUE DE SAISIE '!G16</f>
        <v>0</v>
      </c>
      <c r="E75" s="337">
        <f>'MASQUE DE SAISIE '!H16</f>
        <v>0</v>
      </c>
      <c r="F75" s="333" t="e">
        <f>ROUND(C75*D75,2)</f>
        <v>#REF!</v>
      </c>
      <c r="G75" s="205" t="e">
        <f>ROUND(C75*E75,2)</f>
        <v>#REF!</v>
      </c>
      <c r="I75" s="229"/>
      <c r="J75" s="230"/>
      <c r="K75" s="229"/>
    </row>
    <row r="76" spans="1:11" ht="17.45" hidden="1" customHeight="1" x14ac:dyDescent="0.3">
      <c r="A76" s="908" t="s">
        <v>201</v>
      </c>
      <c r="B76" s="861"/>
      <c r="C76" s="325"/>
      <c r="D76" s="321">
        <f>VLOOKUP(A76,TAUX2023,3,FALSE)</f>
        <v>0</v>
      </c>
      <c r="E76" s="321">
        <f>VLOOKUP(A76,TAUX2023,4,FALSE)</f>
        <v>0</v>
      </c>
      <c r="F76" s="322">
        <f>ROUND(C76*D76,2)</f>
        <v>0</v>
      </c>
      <c r="G76" s="320">
        <f>ROUND(C76*E76,2)</f>
        <v>0</v>
      </c>
      <c r="I76" s="229"/>
      <c r="J76" s="230"/>
      <c r="K76" s="229"/>
    </row>
    <row r="77" spans="1:11" ht="17.45" hidden="1" customHeight="1" x14ac:dyDescent="0.3">
      <c r="A77" s="908" t="s">
        <v>391</v>
      </c>
      <c r="B77" s="861"/>
      <c r="C77" s="320"/>
      <c r="D77" s="337">
        <f>'MASQUE DE SAISIE '!G17</f>
        <v>0</v>
      </c>
      <c r="E77" s="337">
        <f>'MASQUE DE SAISIE '!H16</f>
        <v>0</v>
      </c>
      <c r="F77" s="333">
        <f t="shared" ref="F77" si="3">ROUND(C77*D77,2)</f>
        <v>0</v>
      </c>
      <c r="G77" s="205">
        <f t="shared" ref="G77" si="4">ROUND(C77*E77,2)</f>
        <v>0</v>
      </c>
      <c r="K77" s="216"/>
    </row>
    <row r="78" spans="1:11" ht="17.45" customHeight="1" x14ac:dyDescent="0.3">
      <c r="A78" s="967" t="s">
        <v>220</v>
      </c>
      <c r="B78" s="968"/>
      <c r="C78" s="324"/>
      <c r="D78" s="331"/>
      <c r="E78" s="331"/>
      <c r="F78" s="345" t="e">
        <f>J33-F72-F74-F75+F82</f>
        <v>#REF!</v>
      </c>
      <c r="G78" s="324"/>
      <c r="K78" s="216"/>
    </row>
    <row r="79" spans="1:11" ht="18" customHeight="1" x14ac:dyDescent="0.3">
      <c r="A79" s="861" t="s">
        <v>249</v>
      </c>
      <c r="B79" s="855"/>
      <c r="C79" s="324"/>
      <c r="D79" s="331"/>
      <c r="E79" s="331"/>
      <c r="F79" s="324">
        <f>'MASQUE DE SAISIE '!E47*'MASQUE DE SAISIE '!E48</f>
        <v>0</v>
      </c>
      <c r="G79" s="324">
        <f>'MASQUE DE SAISIE '!E47*'MASQUE DE SAISIE '!E49</f>
        <v>0</v>
      </c>
      <c r="K79" s="216"/>
    </row>
    <row r="80" spans="1:11" ht="16.899999999999999" customHeight="1" x14ac:dyDescent="0.3">
      <c r="A80" s="861" t="s">
        <v>250</v>
      </c>
      <c r="B80" s="855"/>
      <c r="C80" s="324"/>
      <c r="D80" s="331"/>
      <c r="E80" s="331"/>
      <c r="F80" s="413">
        <f>'MASQUE DE SAISIE '!E50</f>
        <v>0</v>
      </c>
      <c r="G80" s="334"/>
      <c r="K80" s="216"/>
    </row>
    <row r="81" spans="1:12" ht="23.45" hidden="1" customHeight="1" x14ac:dyDescent="0.3">
      <c r="A81" s="856" t="s">
        <v>272</v>
      </c>
      <c r="B81" s="857"/>
      <c r="C81" s="289"/>
      <c r="D81" s="290"/>
      <c r="E81" s="290"/>
      <c r="F81" s="291"/>
      <c r="G81" s="291"/>
      <c r="K81" s="216"/>
    </row>
    <row r="82" spans="1:12" ht="23.45" hidden="1" customHeight="1" x14ac:dyDescent="0.3">
      <c r="A82" s="861" t="s">
        <v>453</v>
      </c>
      <c r="B82" s="855"/>
      <c r="C82" s="289"/>
      <c r="D82" s="290"/>
      <c r="E82" s="290"/>
      <c r="F82" s="467"/>
      <c r="G82" s="291"/>
      <c r="K82" s="216"/>
    </row>
    <row r="83" spans="1:12" customFormat="1" ht="19.149999999999999" customHeight="1" x14ac:dyDescent="0.25">
      <c r="A83" s="948" t="s">
        <v>64</v>
      </c>
      <c r="B83" s="948"/>
      <c r="C83" s="948"/>
      <c r="D83" s="948"/>
      <c r="E83" s="948"/>
      <c r="F83" s="948"/>
      <c r="G83" s="948"/>
      <c r="H83" s="948"/>
      <c r="I83" s="948"/>
      <c r="J83" s="946" t="e">
        <f>J33-F72-F74-F75-F44-F77-F79+F80-F81+F82</f>
        <v>#REF!</v>
      </c>
      <c r="K83" s="947"/>
      <c r="L83" s="947"/>
    </row>
    <row r="84" spans="1:12" customFormat="1" ht="18" customHeight="1" x14ac:dyDescent="0.25">
      <c r="A84" s="948" t="s">
        <v>221</v>
      </c>
      <c r="B84" s="948"/>
      <c r="C84" s="948"/>
      <c r="D84" s="948"/>
      <c r="E84" s="948"/>
      <c r="F84" s="948"/>
      <c r="G84" s="948"/>
      <c r="H84" s="948"/>
      <c r="I84" s="948"/>
      <c r="J84" s="946" t="e">
        <f>'HEURES SUPPLEMENTAIRES '!E100</f>
        <v>#REF!</v>
      </c>
      <c r="K84" s="947"/>
      <c r="L84" s="947"/>
    </row>
    <row r="85" spans="1:12" customFormat="1" ht="18" customHeight="1" x14ac:dyDescent="0.25">
      <c r="A85" s="935" t="s">
        <v>222</v>
      </c>
      <c r="B85" s="935"/>
      <c r="C85" s="935"/>
      <c r="D85" s="935"/>
      <c r="E85" s="935"/>
      <c r="F85" s="935"/>
      <c r="G85" s="935"/>
      <c r="H85" s="935"/>
      <c r="I85" s="935"/>
      <c r="J85" s="937" t="e">
        <f>'HEURES SUPPLEMENTAIRES '!E57-F67</f>
        <v>#REF!</v>
      </c>
      <c r="K85" s="937"/>
      <c r="L85" s="65"/>
    </row>
    <row r="86" spans="1:12" customFormat="1" ht="17.45" customHeight="1" x14ac:dyDescent="0.25">
      <c r="A86" s="935" t="s">
        <v>306</v>
      </c>
      <c r="B86" s="935"/>
      <c r="C86" s="935"/>
      <c r="D86" s="935"/>
      <c r="E86" s="935"/>
      <c r="F86" s="935"/>
      <c r="G86" s="935"/>
      <c r="H86" s="935"/>
      <c r="I86" s="935"/>
      <c r="J86" s="471" t="e">
        <f>'HEURES SUPPLEMENTAIRES '!G57</f>
        <v>#REF!</v>
      </c>
      <c r="K86" s="472"/>
      <c r="L86" s="473"/>
    </row>
    <row r="87" spans="1:12" customFormat="1" ht="23.25" customHeight="1" x14ac:dyDescent="0.25">
      <c r="A87" s="954" t="s">
        <v>223</v>
      </c>
      <c r="B87" s="955"/>
      <c r="C87" s="956"/>
      <c r="D87" s="831" t="s">
        <v>59</v>
      </c>
      <c r="E87" s="831"/>
      <c r="F87" s="831" t="s">
        <v>66</v>
      </c>
      <c r="G87" s="831"/>
      <c r="H87" s="346" t="s">
        <v>60</v>
      </c>
      <c r="I87" s="62"/>
      <c r="J87" s="936" t="s">
        <v>305</v>
      </c>
      <c r="K87" s="936"/>
      <c r="L87" s="56"/>
    </row>
    <row r="88" spans="1:12" customFormat="1" ht="20.25" customHeight="1" x14ac:dyDescent="0.25">
      <c r="A88" s="957"/>
      <c r="B88" s="958"/>
      <c r="C88" s="959"/>
      <c r="D88" s="960" t="e">
        <f>J84</f>
        <v>#REF!</v>
      </c>
      <c r="E88" s="961"/>
      <c r="F88" s="962" t="e">
        <f>'TAUX NEUTRE '!H12</f>
        <v>#REF!</v>
      </c>
      <c r="G88" s="963"/>
      <c r="H88" s="347" t="e">
        <f>ROUND(D88*F88,2)</f>
        <v>#REF!</v>
      </c>
      <c r="I88" s="62"/>
      <c r="J88" s="56"/>
      <c r="K88" s="56"/>
      <c r="L88" s="56"/>
    </row>
    <row r="89" spans="1:12" customFormat="1" ht="15" x14ac:dyDescent="0.25">
      <c r="A89" s="953" t="s">
        <v>273</v>
      </c>
      <c r="B89" s="953"/>
      <c r="C89" s="953"/>
      <c r="D89" s="953"/>
      <c r="E89" s="953"/>
      <c r="F89" s="953"/>
      <c r="G89" s="953"/>
      <c r="H89" s="953"/>
      <c r="I89" s="953"/>
      <c r="J89" s="938" t="e">
        <f>J83-H88</f>
        <v>#REF!</v>
      </c>
      <c r="K89" s="938"/>
      <c r="L89" s="938"/>
    </row>
    <row r="90" spans="1:12" customFormat="1" ht="15" x14ac:dyDescent="0.25">
      <c r="A90" s="964" t="s">
        <v>275</v>
      </c>
      <c r="B90" s="965"/>
      <c r="C90" s="965"/>
      <c r="D90" s="965"/>
      <c r="E90" s="965"/>
      <c r="F90" s="965"/>
      <c r="G90" s="965"/>
      <c r="H90" s="965"/>
      <c r="I90" s="966"/>
      <c r="J90" s="951" t="e">
        <f>-G70+IF(C59=0,J33*1.8%,0) +IF(C38=0,J33*6%,0)</f>
        <v>#REF!</v>
      </c>
      <c r="K90" s="952"/>
      <c r="L90" s="952"/>
    </row>
    <row r="91" spans="1:12" customFormat="1" ht="15" x14ac:dyDescent="0.25">
      <c r="A91" s="953" t="s">
        <v>57</v>
      </c>
      <c r="B91" s="953"/>
      <c r="C91" s="953"/>
      <c r="D91" s="953"/>
      <c r="E91" s="953"/>
      <c r="F91" s="953"/>
      <c r="G91" s="953"/>
      <c r="H91" s="953"/>
      <c r="I91" s="953"/>
      <c r="J91" s="938" t="e">
        <f>G72+J33+G74+G75+G44+G77</f>
        <v>#REF!</v>
      </c>
      <c r="K91" s="952"/>
      <c r="L91" s="952"/>
    </row>
    <row r="92" spans="1:12" customFormat="1" ht="15" x14ac:dyDescent="0.25">
      <c r="A92" s="59"/>
      <c r="B92" s="67" t="s">
        <v>63</v>
      </c>
      <c r="C92" s="67" t="s">
        <v>276</v>
      </c>
      <c r="D92" s="949" t="s">
        <v>278</v>
      </c>
      <c r="E92" s="950"/>
      <c r="F92" s="949" t="s">
        <v>279</v>
      </c>
      <c r="G92" s="950"/>
      <c r="H92" s="348"/>
      <c r="I92" s="348"/>
      <c r="J92" s="173"/>
      <c r="K92" s="349"/>
      <c r="L92" s="349"/>
    </row>
    <row r="93" spans="1:12" customFormat="1" ht="21" customHeight="1" x14ac:dyDescent="0.25">
      <c r="A93" s="350" t="s">
        <v>277</v>
      </c>
      <c r="B93" s="63" t="e">
        <f>H88</f>
        <v>#REF!</v>
      </c>
      <c r="C93" s="63"/>
      <c r="D93" s="67" t="s">
        <v>101</v>
      </c>
      <c r="E93" s="63"/>
      <c r="F93" s="67" t="s">
        <v>302</v>
      </c>
      <c r="G93" s="63"/>
      <c r="H93" s="67"/>
      <c r="I93" s="348"/>
      <c r="J93" s="173"/>
      <c r="K93" s="349"/>
      <c r="L93" s="349"/>
    </row>
    <row r="94" spans="1:12" customFormat="1" ht="21" customHeight="1" x14ac:dyDescent="0.25">
      <c r="A94" s="351" t="s">
        <v>281</v>
      </c>
      <c r="B94" s="353" t="e">
        <f>C71</f>
        <v>#REF!</v>
      </c>
      <c r="C94" s="353"/>
      <c r="D94" s="67" t="s">
        <v>94</v>
      </c>
      <c r="E94" s="63"/>
      <c r="F94" s="67" t="s">
        <v>235</v>
      </c>
      <c r="G94" s="63"/>
      <c r="H94" s="348"/>
      <c r="I94" s="348"/>
      <c r="J94" s="173"/>
      <c r="K94" s="349"/>
      <c r="L94" s="349"/>
    </row>
    <row r="95" spans="1:12" customFormat="1" ht="17.25" customHeight="1" x14ac:dyDescent="0.25">
      <c r="A95" s="352" t="s">
        <v>179</v>
      </c>
      <c r="B95" s="353" t="e">
        <f>J33</f>
        <v>#REF!</v>
      </c>
      <c r="C95" s="353"/>
      <c r="D95" s="67" t="s">
        <v>234</v>
      </c>
      <c r="E95" s="63"/>
      <c r="F95" s="67" t="s">
        <v>234</v>
      </c>
      <c r="G95" s="63"/>
      <c r="H95" s="348"/>
      <c r="I95" s="348"/>
      <c r="J95" s="173"/>
      <c r="K95" s="349"/>
      <c r="L95" s="349"/>
    </row>
    <row r="96" spans="1:12" customFormat="1" ht="17.25" customHeight="1" x14ac:dyDescent="0.25">
      <c r="A96" s="352" t="s">
        <v>61</v>
      </c>
      <c r="B96" s="353" t="e">
        <f>+J84</f>
        <v>#REF!</v>
      </c>
      <c r="C96" s="353"/>
      <c r="D96" s="348"/>
      <c r="E96" s="348"/>
      <c r="F96" s="348"/>
      <c r="G96" s="348"/>
      <c r="H96" s="348"/>
      <c r="I96" s="348"/>
      <c r="J96" s="173"/>
      <c r="K96" s="349"/>
      <c r="L96" s="349"/>
    </row>
    <row r="97" spans="1:12" customFormat="1" ht="15" customHeight="1" x14ac:dyDescent="0.25">
      <c r="A97" s="821" t="s">
        <v>58</v>
      </c>
      <c r="B97" s="821"/>
      <c r="C97" s="821"/>
      <c r="D97" s="821"/>
      <c r="E97" s="821"/>
      <c r="F97" s="23"/>
      <c r="G97" s="23"/>
      <c r="H97" s="23"/>
      <c r="I97" s="23"/>
      <c r="J97" s="23"/>
      <c r="K97" s="23"/>
      <c r="L97" s="23"/>
    </row>
    <row r="98" spans="1:12" s="23" customFormat="1" ht="12" customHeight="1" x14ac:dyDescent="0.25">
      <c r="A98" s="43" t="s">
        <v>62</v>
      </c>
      <c r="E98" s="23" t="s">
        <v>307</v>
      </c>
    </row>
    <row r="99" spans="1:12" s="23" customFormat="1" ht="12" customHeight="1" x14ac:dyDescent="0.25"/>
    <row r="100" spans="1:12" s="23" customFormat="1" ht="12" hidden="1" customHeight="1" x14ac:dyDescent="0.25">
      <c r="A100" s="43"/>
    </row>
    <row r="101" spans="1:12" s="23" customFormat="1" ht="12" hidden="1" customHeight="1" x14ac:dyDescent="0.3">
      <c r="A101" s="234" t="s">
        <v>90</v>
      </c>
      <c r="B101" s="235"/>
      <c r="C101" s="236">
        <v>7.4999999999999997E-3</v>
      </c>
      <c r="D101" s="228" t="e">
        <f>ROUND(J33*C101,2)</f>
        <v>#REF!</v>
      </c>
      <c r="E101" s="215"/>
      <c r="F101" s="237"/>
      <c r="G101" s="214"/>
      <c r="H101" s="24"/>
      <c r="I101" s="24"/>
    </row>
    <row r="102" spans="1:12" ht="30.75" hidden="1" customHeight="1" x14ac:dyDescent="0.3">
      <c r="A102" s="234" t="s">
        <v>91</v>
      </c>
      <c r="B102" s="235"/>
      <c r="C102" s="238">
        <f>(2.4-0.95)%</f>
        <v>1.4499999999999999E-2</v>
      </c>
      <c r="D102" s="228" t="e">
        <f>ROUND(C61*C102,2)</f>
        <v>#REF!</v>
      </c>
      <c r="F102" s="233"/>
    </row>
    <row r="103" spans="1:12" ht="30.75" hidden="1" customHeight="1" x14ac:dyDescent="0.3">
      <c r="A103" s="239" t="s">
        <v>239</v>
      </c>
      <c r="B103" s="235"/>
      <c r="D103" s="215" t="e">
        <f>D101+D102</f>
        <v>#REF!</v>
      </c>
      <c r="F103" s="233"/>
    </row>
    <row r="104" spans="1:12" ht="30.75" hidden="1" customHeight="1" x14ac:dyDescent="0.3">
      <c r="A104" s="234" t="s">
        <v>240</v>
      </c>
      <c r="C104" s="215"/>
      <c r="F104" s="240"/>
    </row>
    <row r="105" spans="1:12" ht="30.75" hidden="1" customHeight="1" x14ac:dyDescent="0.3">
      <c r="A105" s="234"/>
      <c r="C105" s="215"/>
      <c r="F105" s="240"/>
    </row>
    <row r="106" spans="1:12" ht="30.75" hidden="1" customHeight="1" x14ac:dyDescent="0.3">
      <c r="A106" s="234" t="s">
        <v>92</v>
      </c>
      <c r="B106" s="241"/>
      <c r="C106" s="228">
        <v>1.7000000000000001E-2</v>
      </c>
      <c r="D106" s="228" t="e">
        <f>ROUND(C65*C106,2)</f>
        <v>#REF!</v>
      </c>
      <c r="F106" s="240"/>
    </row>
    <row r="107" spans="1:12" ht="30.75" hidden="1" customHeight="1" x14ac:dyDescent="0.3">
      <c r="A107" s="242"/>
      <c r="B107" s="243"/>
      <c r="C107" s="244"/>
      <c r="D107" s="244"/>
      <c r="E107" s="244"/>
      <c r="F107" s="245"/>
    </row>
    <row r="108" spans="1:12" ht="30.75" hidden="1" customHeight="1" x14ac:dyDescent="0.3">
      <c r="A108" s="246" t="s">
        <v>241</v>
      </c>
      <c r="B108" s="247"/>
      <c r="C108" s="248"/>
      <c r="D108" s="248"/>
      <c r="E108" s="248"/>
      <c r="F108" s="249"/>
    </row>
    <row r="109" spans="1:12" ht="30.75" hidden="1" customHeight="1" x14ac:dyDescent="0.3">
      <c r="A109" s="231"/>
      <c r="B109" s="232"/>
      <c r="C109" s="250"/>
      <c r="F109" s="251"/>
    </row>
    <row r="110" spans="1:12" ht="30.75" hidden="1" customHeight="1" x14ac:dyDescent="0.3">
      <c r="A110" s="234" t="s">
        <v>90</v>
      </c>
      <c r="B110" s="235"/>
      <c r="C110" s="236">
        <v>7.4999999999999997E-3</v>
      </c>
      <c r="D110" s="228" t="e">
        <f>ROUND(J33*C110,2)</f>
        <v>#REF!</v>
      </c>
      <c r="E110" s="214"/>
      <c r="F110" s="233"/>
    </row>
    <row r="111" spans="1:12" ht="30.75" hidden="1" customHeight="1" x14ac:dyDescent="0.3">
      <c r="A111" s="234" t="s">
        <v>91</v>
      </c>
      <c r="B111" s="235"/>
      <c r="C111" s="238">
        <f>(2.4)%</f>
        <v>2.4E-2</v>
      </c>
      <c r="D111" s="228" t="e">
        <f>ROUND(C61*C111,2)</f>
        <v>#REF!</v>
      </c>
      <c r="E111" s="252"/>
      <c r="F111" s="233"/>
    </row>
    <row r="112" spans="1:12" ht="30.75" hidden="1" customHeight="1" x14ac:dyDescent="0.3">
      <c r="A112" s="239" t="s">
        <v>242</v>
      </c>
      <c r="B112" s="235"/>
      <c r="E112" s="252"/>
      <c r="F112" s="233"/>
    </row>
    <row r="113" spans="1:18" ht="30.75" hidden="1" customHeight="1" x14ac:dyDescent="0.3">
      <c r="A113" s="234" t="s">
        <v>240</v>
      </c>
      <c r="C113" s="215"/>
      <c r="E113" s="253" t="e">
        <f>D111+D110-D115</f>
        <v>#REF!</v>
      </c>
      <c r="F113" s="233"/>
    </row>
    <row r="114" spans="1:18" ht="30.75" hidden="1" customHeight="1" x14ac:dyDescent="0.3">
      <c r="A114" s="234"/>
      <c r="C114" s="215"/>
      <c r="E114" s="252"/>
      <c r="F114" s="233"/>
    </row>
    <row r="115" spans="1:18" ht="30.75" hidden="1" customHeight="1" x14ac:dyDescent="0.3">
      <c r="A115" s="234" t="s">
        <v>92</v>
      </c>
      <c r="B115" s="241"/>
      <c r="C115" s="228">
        <v>1.7000000000000001E-2</v>
      </c>
      <c r="D115" s="228" t="e">
        <f>ROUND(C65*C115,2)</f>
        <v>#REF!</v>
      </c>
      <c r="F115" s="233"/>
    </row>
    <row r="116" spans="1:18" ht="30.75" hidden="1" customHeight="1" x14ac:dyDescent="0.3">
      <c r="A116" s="254"/>
      <c r="B116" s="255"/>
      <c r="C116" s="256"/>
      <c r="D116" s="256"/>
      <c r="E116" s="256"/>
      <c r="F116" s="257"/>
    </row>
    <row r="117" spans="1:18" ht="30.75" hidden="1" customHeight="1" x14ac:dyDescent="0.3">
      <c r="B117" s="235"/>
    </row>
    <row r="118" spans="1:18" ht="30.75" customHeight="1" x14ac:dyDescent="0.3">
      <c r="A118" s="25"/>
    </row>
    <row r="119" spans="1:18" ht="30.75" customHeight="1" x14ac:dyDescent="0.3">
      <c r="A119" s="907" t="s">
        <v>84</v>
      </c>
      <c r="B119" s="907"/>
      <c r="C119" s="907"/>
      <c r="D119" s="907"/>
      <c r="E119" s="907"/>
      <c r="F119" s="179"/>
      <c r="G119" s="25"/>
      <c r="H119" s="25"/>
      <c r="I119" s="25"/>
    </row>
    <row r="120" spans="1:18" customFormat="1" ht="30.6" customHeight="1" x14ac:dyDescent="0.25">
      <c r="A120" s="181"/>
      <c r="B120" s="56"/>
      <c r="C120" s="38" t="s">
        <v>32</v>
      </c>
      <c r="D120" s="38" t="s">
        <v>280</v>
      </c>
      <c r="E120" s="38" t="s">
        <v>95</v>
      </c>
      <c r="H120" s="25"/>
      <c r="I120" s="25"/>
      <c r="J120" s="25"/>
      <c r="K120" s="25"/>
      <c r="L120" s="25"/>
      <c r="M120" s="27"/>
      <c r="N120" s="27"/>
      <c r="O120" s="27"/>
      <c r="P120" s="27"/>
      <c r="Q120" s="27"/>
      <c r="R120" s="27"/>
    </row>
    <row r="121" spans="1:18" customFormat="1" ht="30.6" customHeight="1" x14ac:dyDescent="0.25">
      <c r="A121" s="811" t="s">
        <v>87</v>
      </c>
      <c r="B121" s="812"/>
      <c r="C121" s="670" t="e">
        <f>IF(B9&lt;50,IF(J33&gt;C33,C33,J33),0)</f>
        <v>#REF!</v>
      </c>
      <c r="D121" s="671">
        <f>'TABLE DES TAUX 2025 '!D26</f>
        <v>1E-3</v>
      </c>
      <c r="E121" s="670" t="e">
        <f t="shared" ref="E121:E130" si="5">ROUND(C121*D121,2)</f>
        <v>#REF!</v>
      </c>
      <c r="G121" s="528"/>
      <c r="H121" s="25"/>
      <c r="I121" s="25"/>
      <c r="J121" s="25"/>
      <c r="K121" s="25"/>
      <c r="L121" s="25"/>
      <c r="M121" s="27"/>
      <c r="N121" s="27"/>
      <c r="O121" s="27"/>
      <c r="P121" s="27"/>
      <c r="Q121" s="27"/>
      <c r="R121" s="27"/>
    </row>
    <row r="122" spans="1:18" customFormat="1" ht="30.6" customHeight="1" x14ac:dyDescent="0.3">
      <c r="A122" s="811" t="s">
        <v>88</v>
      </c>
      <c r="B122" s="812"/>
      <c r="C122" s="670">
        <f>IF(B9&gt;=50,J33,0)</f>
        <v>0</v>
      </c>
      <c r="D122" s="671">
        <f>'TABLE DES TAUX 2025 '!D27</f>
        <v>5.0000000000000001E-3</v>
      </c>
      <c r="E122" s="670">
        <f t="shared" si="5"/>
        <v>0</v>
      </c>
      <c r="G122" s="529"/>
      <c r="H122" s="25"/>
      <c r="I122" s="25"/>
      <c r="J122" s="25"/>
      <c r="K122" s="25"/>
      <c r="L122" s="25"/>
      <c r="M122" s="27"/>
      <c r="N122" s="27"/>
      <c r="O122" s="27"/>
      <c r="P122" s="27"/>
      <c r="Q122" s="27"/>
      <c r="R122" s="27"/>
    </row>
    <row r="123" spans="1:18" customFormat="1" ht="30.6" customHeight="1" x14ac:dyDescent="0.25">
      <c r="A123" s="811" t="s">
        <v>270</v>
      </c>
      <c r="B123" s="812"/>
      <c r="C123" s="670" t="e">
        <f>IF(B9&gt;=11,J33,0)</f>
        <v>#REF!</v>
      </c>
      <c r="D123" s="671">
        <f>'TABLE DES TAUX 2025 '!D28</f>
        <v>3.2000000000000001E-2</v>
      </c>
      <c r="E123" s="670" t="e">
        <f t="shared" si="5"/>
        <v>#REF!</v>
      </c>
      <c r="G123" s="528"/>
      <c r="H123" s="25"/>
      <c r="I123" s="25"/>
      <c r="J123" s="25"/>
      <c r="K123" s="25"/>
      <c r="L123" s="25"/>
      <c r="M123" s="27"/>
      <c r="N123" s="27"/>
      <c r="O123" s="27"/>
      <c r="P123" s="27"/>
      <c r="Q123" s="27"/>
      <c r="R123" s="27"/>
    </row>
    <row r="124" spans="1:18" customFormat="1" ht="30.6" customHeight="1" x14ac:dyDescent="0.25">
      <c r="A124" s="811" t="s">
        <v>72</v>
      </c>
      <c r="B124" s="812"/>
      <c r="C124" s="670" t="e">
        <f>J33</f>
        <v>#REF!</v>
      </c>
      <c r="D124" s="671">
        <f>'TABLE DES TAUX 2025 '!D29</f>
        <v>3.0000000000000001E-3</v>
      </c>
      <c r="E124" s="670" t="e">
        <f t="shared" si="5"/>
        <v>#REF!</v>
      </c>
      <c r="H124" s="25"/>
      <c r="I124" s="25"/>
      <c r="J124" s="25"/>
      <c r="K124" s="25"/>
      <c r="L124" s="25"/>
      <c r="M124" s="27"/>
      <c r="N124" s="27"/>
      <c r="O124" s="27"/>
      <c r="P124" s="27"/>
      <c r="Q124" s="27"/>
      <c r="R124" s="27"/>
    </row>
    <row r="125" spans="1:18" customFormat="1" ht="30.6" customHeight="1" x14ac:dyDescent="0.25">
      <c r="A125" s="811" t="s">
        <v>85</v>
      </c>
      <c r="B125" s="812"/>
      <c r="C125" s="670" t="e">
        <f>IF(B9&gt;=11, IF(I9=2,G43+G44+G75,G40+G74),0)</f>
        <v>#REF!</v>
      </c>
      <c r="D125" s="671">
        <f>'TABLE DES TAUX 2025 '!D30</f>
        <v>0.08</v>
      </c>
      <c r="E125" s="670" t="e">
        <f t="shared" si="5"/>
        <v>#REF!</v>
      </c>
      <c r="H125" s="27"/>
      <c r="I125" s="27"/>
      <c r="J125" s="25"/>
      <c r="K125" s="25"/>
      <c r="L125" s="25"/>
      <c r="M125" s="27"/>
      <c r="N125" s="27"/>
      <c r="O125" s="27"/>
      <c r="P125" s="27"/>
      <c r="Q125" s="27"/>
      <c r="R125" s="27"/>
    </row>
    <row r="126" spans="1:18" customFormat="1" ht="30.6" customHeight="1" x14ac:dyDescent="0.25">
      <c r="A126" s="811" t="s">
        <v>217</v>
      </c>
      <c r="B126" s="812"/>
      <c r="C126" s="670">
        <f>G77</f>
        <v>0</v>
      </c>
      <c r="D126" s="671">
        <f>'TABLE DES TAUX 2025 '!D31</f>
        <v>0.2</v>
      </c>
      <c r="E126" s="670">
        <f t="shared" si="5"/>
        <v>0</v>
      </c>
      <c r="H126" s="27"/>
      <c r="I126" s="27"/>
      <c r="J126" s="27"/>
      <c r="K126" s="27"/>
      <c r="L126" s="27"/>
      <c r="M126" s="27"/>
      <c r="N126" s="27"/>
      <c r="O126" s="27"/>
      <c r="P126" s="27"/>
      <c r="Q126" s="27"/>
      <c r="R126" s="27"/>
    </row>
    <row r="127" spans="1:18" customFormat="1" ht="30.6" customHeight="1" x14ac:dyDescent="0.25">
      <c r="A127" s="811" t="s">
        <v>73</v>
      </c>
      <c r="B127" s="812"/>
      <c r="C127" s="670" t="e">
        <f>+J33</f>
        <v>#REF!</v>
      </c>
      <c r="D127" s="671">
        <f>'TABLE DES TAUX 2025 '!D32</f>
        <v>1.6000000000000001E-4</v>
      </c>
      <c r="E127" s="670" t="e">
        <f t="shared" si="5"/>
        <v>#REF!</v>
      </c>
      <c r="H127" s="27"/>
      <c r="I127" s="27"/>
      <c r="J127" s="27"/>
      <c r="K127" s="27"/>
      <c r="L127" s="27"/>
      <c r="M127" s="27"/>
      <c r="N127" s="27"/>
      <c r="O127" s="27"/>
      <c r="P127" s="27"/>
      <c r="Q127" s="27"/>
      <c r="R127" s="27"/>
    </row>
    <row r="128" spans="1:18" customFormat="1" ht="30.6" customHeight="1" x14ac:dyDescent="0.25">
      <c r="A128" s="811" t="s">
        <v>826</v>
      </c>
      <c r="B128" s="812"/>
      <c r="C128" s="670" t="e">
        <f>IF(B9&gt;=11,J33,0)</f>
        <v>#REF!</v>
      </c>
      <c r="D128" s="671">
        <f>'TABLE DES TAUX 2025 '!D33</f>
        <v>1.6800000000000002E-2</v>
      </c>
      <c r="E128" s="670" t="e">
        <f t="shared" si="5"/>
        <v>#REF!</v>
      </c>
      <c r="H128" s="27"/>
      <c r="I128" s="27"/>
      <c r="J128" s="27"/>
      <c r="K128" s="27"/>
      <c r="L128" s="27"/>
      <c r="M128" s="27"/>
      <c r="N128" s="27"/>
      <c r="O128" s="27"/>
      <c r="P128" s="27"/>
      <c r="Q128" s="27"/>
      <c r="R128" s="27"/>
    </row>
    <row r="129" spans="1:18" customFormat="1" ht="30.6" customHeight="1" x14ac:dyDescent="0.25">
      <c r="A129" s="811" t="s">
        <v>827</v>
      </c>
      <c r="B129" s="812"/>
      <c r="C129" s="670">
        <f>IF(B9&lt;11,J33,0)</f>
        <v>0</v>
      </c>
      <c r="D129" s="671">
        <f>'TABLE DES TAUX 2025 '!D34</f>
        <v>1.2300000000000002E-2</v>
      </c>
      <c r="E129" s="670">
        <f t="shared" si="5"/>
        <v>0</v>
      </c>
      <c r="H129" s="27"/>
      <c r="I129" s="27"/>
      <c r="J129" s="27"/>
      <c r="K129" s="27"/>
      <c r="L129" s="27"/>
      <c r="M129" s="27"/>
      <c r="N129" s="27"/>
      <c r="O129" s="27"/>
      <c r="P129" s="27"/>
      <c r="Q129" s="27"/>
      <c r="R129" s="27"/>
    </row>
    <row r="130" spans="1:18" customFormat="1" ht="30.6" customHeight="1" x14ac:dyDescent="0.25">
      <c r="A130" s="811" t="s">
        <v>78</v>
      </c>
      <c r="B130" s="812"/>
      <c r="C130" s="670">
        <f>IF(B9&lt;50,0,J33)</f>
        <v>0</v>
      </c>
      <c r="D130" s="671">
        <f>'TABLE DES TAUX 2025 '!D35</f>
        <v>4.4999999999999997E-3</v>
      </c>
      <c r="E130" s="670">
        <f t="shared" si="5"/>
        <v>0</v>
      </c>
      <c r="H130" s="27"/>
      <c r="I130" s="27"/>
      <c r="J130" s="27"/>
      <c r="K130" s="27"/>
      <c r="L130" s="27"/>
      <c r="M130" s="27"/>
      <c r="N130" s="27"/>
      <c r="O130" s="27"/>
      <c r="P130" s="27"/>
      <c r="Q130" s="27"/>
      <c r="R130" s="27"/>
    </row>
    <row r="131" spans="1:18" customFormat="1" ht="30.6" customHeight="1" x14ac:dyDescent="0.25">
      <c r="A131" s="27"/>
      <c r="B131" s="27"/>
      <c r="C131" s="104"/>
      <c r="D131" s="672"/>
      <c r="E131" s="670" t="e">
        <f>SUM(E121:E130)</f>
        <v>#REF!</v>
      </c>
      <c r="G131" s="27"/>
      <c r="H131" s="27"/>
      <c r="I131" s="27"/>
      <c r="J131" s="27"/>
      <c r="K131" s="27"/>
      <c r="L131" s="27"/>
      <c r="M131" s="27"/>
      <c r="N131" s="27"/>
      <c r="O131" s="27"/>
      <c r="P131" s="27"/>
      <c r="Q131" s="27"/>
      <c r="R131" s="27"/>
    </row>
    <row r="132" spans="1:18" customFormat="1" x14ac:dyDescent="0.3">
      <c r="A132" s="217"/>
      <c r="B132" s="217"/>
      <c r="C132" s="214"/>
      <c r="D132" s="215"/>
      <c r="E132" s="215"/>
      <c r="F132" s="214"/>
      <c r="G132" s="214"/>
      <c r="H132" s="24"/>
      <c r="I132" s="24"/>
      <c r="J132" s="27"/>
      <c r="K132" s="27"/>
      <c r="L132" s="27"/>
      <c r="M132" s="27"/>
      <c r="N132" s="27"/>
      <c r="O132" s="27"/>
      <c r="P132" s="27"/>
      <c r="Q132" s="27"/>
      <c r="R132" s="27"/>
    </row>
  </sheetData>
  <mergeCells count="132">
    <mergeCell ref="A43:B43"/>
    <mergeCell ref="A76:B76"/>
    <mergeCell ref="A75:B75"/>
    <mergeCell ref="A78:B78"/>
    <mergeCell ref="A47:B47"/>
    <mergeCell ref="A125:B125"/>
    <mergeCell ref="A128:B128"/>
    <mergeCell ref="A129:B129"/>
    <mergeCell ref="A130:B130"/>
    <mergeCell ref="A97:E97"/>
    <mergeCell ref="A126:B126"/>
    <mergeCell ref="A122:B122"/>
    <mergeCell ref="A123:B123"/>
    <mergeCell ref="A124:B124"/>
    <mergeCell ref="A83:I83"/>
    <mergeCell ref="A68:B68"/>
    <mergeCell ref="A69:B69"/>
    <mergeCell ref="A70:B70"/>
    <mergeCell ref="A71:B71"/>
    <mergeCell ref="A79:B79"/>
    <mergeCell ref="A80:B80"/>
    <mergeCell ref="A81:B81"/>
    <mergeCell ref="A82:B82"/>
    <mergeCell ref="D92:E92"/>
    <mergeCell ref="F92:G92"/>
    <mergeCell ref="J90:L90"/>
    <mergeCell ref="A91:I91"/>
    <mergeCell ref="J91:L91"/>
    <mergeCell ref="A87:C88"/>
    <mergeCell ref="D87:E87"/>
    <mergeCell ref="F87:G87"/>
    <mergeCell ref="D88:E88"/>
    <mergeCell ref="F88:G88"/>
    <mergeCell ref="A89:I89"/>
    <mergeCell ref="A90:I90"/>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M63:N63"/>
    <mergeCell ref="A59:B59"/>
    <mergeCell ref="A60:B60"/>
    <mergeCell ref="M60:N60"/>
    <mergeCell ref="A61:B61"/>
    <mergeCell ref="A62:B62"/>
    <mergeCell ref="A55:B55"/>
    <mergeCell ref="A56:B56"/>
    <mergeCell ref="A57:B57"/>
    <mergeCell ref="I57:J57"/>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119:E119"/>
    <mergeCell ref="A121:B121"/>
    <mergeCell ref="A77:B77"/>
    <mergeCell ref="A45:B45"/>
    <mergeCell ref="A48:B48"/>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s>
  <dataValidations count="2">
    <dataValidation operator="equal" allowBlank="1" showErrorMessage="1" errorTitle="Smic minimum" error="attention tatal brut au minimum égal au smic pour 151,67 h" sqref="J33" xr:uid="{518061DE-F307-469C-B32A-EE9798B5C81F}">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9" zoomScale="110" zoomScaleNormal="110" workbookViewId="0">
      <selection activeCell="G37" sqref="G37:G38"/>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6" t="s">
        <v>480</v>
      </c>
    </row>
    <row r="2" spans="2:9" x14ac:dyDescent="0.25">
      <c r="B2" s="56"/>
    </row>
    <row r="3" spans="2:9" s="56" customFormat="1" x14ac:dyDescent="0.25"/>
    <row r="4" spans="2:9" s="56" customFormat="1" x14ac:dyDescent="0.25">
      <c r="B4" s="970" t="s">
        <v>481</v>
      </c>
      <c r="E4" s="56" t="s">
        <v>486</v>
      </c>
    </row>
    <row r="5" spans="2:9" s="56" customFormat="1" x14ac:dyDescent="0.25">
      <c r="B5" s="970"/>
      <c r="D5" s="468"/>
      <c r="E5" s="56" t="s">
        <v>487</v>
      </c>
    </row>
    <row r="6" spans="2:9" s="56" customFormat="1" x14ac:dyDescent="0.25"/>
    <row r="7" spans="2:9" s="56" customFormat="1" x14ac:dyDescent="0.25"/>
    <row r="8" spans="2:9" s="56" customFormat="1" x14ac:dyDescent="0.25">
      <c r="B8" s="971" t="s">
        <v>456</v>
      </c>
      <c r="D8" s="969" t="s">
        <v>458</v>
      </c>
      <c r="E8" s="969"/>
      <c r="F8" s="969"/>
      <c r="G8" s="480" t="e">
        <f>'BP VERSION JANVIER 2023'!J33</f>
        <v>#REF!</v>
      </c>
    </row>
    <row r="9" spans="2:9" s="56" customFormat="1" ht="25.5" customHeight="1" x14ac:dyDescent="0.25">
      <c r="B9" s="971"/>
      <c r="D9" s="475" t="s">
        <v>459</v>
      </c>
      <c r="E9" s="371"/>
      <c r="F9" s="371"/>
      <c r="G9" s="480" t="e">
        <f>-'BP VERSION JANVIER 2023'!F73</f>
        <v>#REF!</v>
      </c>
    </row>
    <row r="10" spans="2:9" s="56" customFormat="1" ht="15" customHeight="1" x14ac:dyDescent="0.25">
      <c r="B10" s="971"/>
      <c r="D10" s="883" t="s">
        <v>477</v>
      </c>
      <c r="E10" s="973"/>
      <c r="F10" s="884"/>
      <c r="G10" s="480">
        <f>-'BP VERSION JANVIER 2023'!F74</f>
        <v>0</v>
      </c>
    </row>
    <row r="11" spans="2:9" s="56" customFormat="1" ht="15" customHeight="1" x14ac:dyDescent="0.25">
      <c r="B11" s="971"/>
      <c r="D11" s="883" t="s">
        <v>55</v>
      </c>
      <c r="E11" s="973"/>
      <c r="F11" s="884"/>
      <c r="G11" s="480">
        <f>'BP VERSION JANVIER 2023'!F75</f>
        <v>0</v>
      </c>
      <c r="I11" s="56" t="s">
        <v>488</v>
      </c>
    </row>
    <row r="12" spans="2:9" s="56" customFormat="1" ht="25.5" customHeight="1" x14ac:dyDescent="0.25">
      <c r="B12" s="971"/>
      <c r="G12" s="480"/>
    </row>
    <row r="13" spans="2:9" s="56" customFormat="1" x14ac:dyDescent="0.25">
      <c r="B13" s="971"/>
      <c r="D13" s="974" t="s">
        <v>460</v>
      </c>
      <c r="E13" s="975"/>
      <c r="F13" s="976"/>
      <c r="G13" s="482">
        <f>'BP VERSION JANVIER 2023'!F77</f>
        <v>0</v>
      </c>
    </row>
    <row r="14" spans="2:9" s="56" customFormat="1" x14ac:dyDescent="0.25">
      <c r="B14" s="971"/>
      <c r="G14" s="469" t="e">
        <f>SUM(G8:G13)</f>
        <v>#REF!</v>
      </c>
      <c r="H14" s="480" t="e">
        <f>'BP VERSION JANVIER 2023'!J78</f>
        <v>#REF!</v>
      </c>
      <c r="I14" s="480" t="e">
        <f>'BP FORMAT JUILLET 2023'!J83</f>
        <v>#REF!</v>
      </c>
    </row>
    <row r="15" spans="2:9" s="56" customFormat="1" x14ac:dyDescent="0.25">
      <c r="B15" s="474"/>
    </row>
    <row r="16" spans="2:9" s="56" customFormat="1" x14ac:dyDescent="0.25"/>
    <row r="17" spans="2:10" s="56" customFormat="1" x14ac:dyDescent="0.25">
      <c r="B17" s="971" t="s">
        <v>61</v>
      </c>
      <c r="D17" s="969" t="s">
        <v>458</v>
      </c>
      <c r="E17" s="969"/>
      <c r="F17" s="969"/>
      <c r="G17" s="480" t="e">
        <f>'BP VERSION JANVIER 2023'!J13+'BP VERSION JANVIER 2023'!J23</f>
        <v>#REF!</v>
      </c>
    </row>
    <row r="18" spans="2:10" s="56" customFormat="1" x14ac:dyDescent="0.25">
      <c r="B18" s="971"/>
      <c r="D18" s="952" t="s">
        <v>459</v>
      </c>
      <c r="E18" s="952"/>
      <c r="F18" s="952"/>
      <c r="G18" s="480" t="e">
        <f>-'BP VERSION JANVIER 2023'!F73</f>
        <v>#REF!</v>
      </c>
    </row>
    <row r="19" spans="2:10" s="56" customFormat="1" x14ac:dyDescent="0.25">
      <c r="B19" s="971"/>
      <c r="D19" s="969" t="s">
        <v>461</v>
      </c>
      <c r="E19" s="969"/>
      <c r="F19" s="969"/>
      <c r="G19" s="480" t="e">
        <f>'BP FORMAT JUILLET 2023'!G43</f>
        <v>#REF!</v>
      </c>
    </row>
    <row r="20" spans="2:10" s="56" customFormat="1" x14ac:dyDescent="0.25">
      <c r="B20" s="971"/>
      <c r="D20" s="883" t="s">
        <v>828</v>
      </c>
      <c r="E20" s="973"/>
      <c r="F20" s="884"/>
      <c r="G20" s="480"/>
    </row>
    <row r="21" spans="2:10" s="56" customFormat="1" x14ac:dyDescent="0.25">
      <c r="B21" s="971"/>
      <c r="D21" s="969" t="s">
        <v>462</v>
      </c>
      <c r="E21" s="969"/>
      <c r="F21" s="969"/>
      <c r="G21" s="480" t="e">
        <f>'BP VERSION JANVIER 2023'!F67+'BP VERSION JANVIER 2023'!F68+'BP VERSION JANVIER 2023'!F70</f>
        <v>#REF!</v>
      </c>
    </row>
    <row r="22" spans="2:10" s="56" customFormat="1" x14ac:dyDescent="0.25">
      <c r="B22" s="971"/>
      <c r="G22" s="469" t="e">
        <f>SUM(G17:G21)</f>
        <v>#REF!</v>
      </c>
      <c r="H22" s="480" t="e">
        <f>'BP VERSION JANVIER 2023'!J87</f>
        <v>#REF!</v>
      </c>
      <c r="I22" s="480" t="e">
        <f>'BP FORMAT JUILLET 2023'!J84</f>
        <v>#REF!</v>
      </c>
      <c r="J22" s="432"/>
    </row>
    <row r="23" spans="2:10" s="56" customFormat="1" x14ac:dyDescent="0.25">
      <c r="B23" s="474"/>
      <c r="G23" s="432"/>
    </row>
    <row r="24" spans="2:10" s="56" customFormat="1" x14ac:dyDescent="0.25"/>
    <row r="25" spans="2:10" s="56" customFormat="1" x14ac:dyDescent="0.25">
      <c r="B25" s="972" t="s">
        <v>463</v>
      </c>
      <c r="D25" s="969" t="s">
        <v>61</v>
      </c>
      <c r="E25" s="969"/>
      <c r="F25" s="969"/>
      <c r="G25" s="469" t="e">
        <f>'BP VERSION JANVIER 2023'!J87</f>
        <v>#REF!</v>
      </c>
    </row>
    <row r="26" spans="2:10" s="56" customFormat="1" x14ac:dyDescent="0.25">
      <c r="B26" s="972"/>
      <c r="D26" s="969" t="s">
        <v>478</v>
      </c>
      <c r="E26" s="969"/>
      <c r="F26" s="969"/>
      <c r="G26" s="476"/>
    </row>
    <row r="27" spans="2:10" s="56" customFormat="1" x14ac:dyDescent="0.25">
      <c r="B27" s="972"/>
      <c r="D27" s="977" t="s">
        <v>479</v>
      </c>
      <c r="E27" s="977"/>
      <c r="F27" s="977"/>
      <c r="G27" s="476"/>
    </row>
    <row r="28" spans="2:10" s="56" customFormat="1" x14ac:dyDescent="0.25">
      <c r="B28" s="972"/>
      <c r="G28" s="469" t="e">
        <f>SUM(G25:G27)</f>
        <v>#REF!</v>
      </c>
      <c r="H28" s="480" t="e">
        <f>'BP VERSION JANVIER 2023'!D83</f>
        <v>#REF!</v>
      </c>
      <c r="I28" s="480" t="e">
        <f>'BP FORMAT JUILLET 2023'!D88</f>
        <v>#REF!</v>
      </c>
    </row>
    <row r="29" spans="2:10" s="56" customFormat="1" x14ac:dyDescent="0.25"/>
    <row r="30" spans="2:10" s="56" customFormat="1" x14ac:dyDescent="0.25">
      <c r="B30" s="971" t="s">
        <v>464</v>
      </c>
    </row>
    <row r="31" spans="2:10" s="56" customFormat="1" x14ac:dyDescent="0.25">
      <c r="B31" s="971"/>
      <c r="D31" s="969" t="s">
        <v>461</v>
      </c>
      <c r="E31" s="969"/>
      <c r="F31" s="969"/>
      <c r="G31" s="480" t="e">
        <f>'BP VERSION JANVIER 2023'!G38</f>
        <v>#REF!</v>
      </c>
    </row>
    <row r="32" spans="2:10" s="56" customFormat="1" x14ac:dyDescent="0.25">
      <c r="B32" s="971"/>
      <c r="D32" s="969" t="s">
        <v>465</v>
      </c>
      <c r="E32" s="969"/>
      <c r="F32" s="969"/>
      <c r="G32" s="480"/>
    </row>
    <row r="33" spans="2:10" s="56" customFormat="1" x14ac:dyDescent="0.25">
      <c r="B33" s="971"/>
      <c r="D33" s="969" t="s">
        <v>466</v>
      </c>
      <c r="E33" s="969"/>
      <c r="F33" s="969"/>
      <c r="G33" s="480" t="e">
        <f>'BP VERSION JANVIER 2023'!G42</f>
        <v>#REF!</v>
      </c>
    </row>
    <row r="34" spans="2:10" s="56" customFormat="1" x14ac:dyDescent="0.25">
      <c r="G34" s="469" t="e">
        <f>SUM(G31:G33)</f>
        <v>#REF!</v>
      </c>
      <c r="H34" s="476" t="e">
        <f>'BP VERSION JANVIER 2023'!C113</f>
        <v>#REF!</v>
      </c>
      <c r="I34" s="476" t="e">
        <f>'BP FORMAT JUILLET 2023'!C125</f>
        <v>#REF!</v>
      </c>
    </row>
    <row r="35" spans="2:10" s="56" customFormat="1" x14ac:dyDescent="0.25">
      <c r="G35" s="432"/>
      <c r="H35" s="431"/>
      <c r="I35" s="431"/>
    </row>
    <row r="36" spans="2:10" s="56" customFormat="1" x14ac:dyDescent="0.25">
      <c r="B36" s="971" t="s">
        <v>467</v>
      </c>
      <c r="D36" s="969" t="s">
        <v>468</v>
      </c>
      <c r="E36" s="969"/>
      <c r="F36" s="969"/>
      <c r="G36" s="628" t="e">
        <f>'ENONCE '!#REF!</f>
        <v>#REF!</v>
      </c>
    </row>
    <row r="37" spans="2:10" s="56" customFormat="1" x14ac:dyDescent="0.25">
      <c r="B37" s="971"/>
      <c r="D37" s="969" t="s">
        <v>469</v>
      </c>
      <c r="E37" s="969"/>
      <c r="F37" s="969"/>
      <c r="G37" s="483" t="e">
        <f>'ENONCE '!#REF!</f>
        <v>#REF!</v>
      </c>
    </row>
    <row r="38" spans="2:10" s="56" customFormat="1" x14ac:dyDescent="0.25">
      <c r="B38" s="971"/>
      <c r="D38" s="969" t="s">
        <v>489</v>
      </c>
      <c r="E38" s="969"/>
      <c r="F38" s="969"/>
      <c r="G38" s="483" t="e">
        <f>'ENONCE '!#REF!</f>
        <v>#REF!</v>
      </c>
    </row>
    <row r="39" spans="2:10" s="56" customFormat="1" x14ac:dyDescent="0.25">
      <c r="B39" s="971"/>
      <c r="G39" s="470" t="e">
        <f>SUM(G36:G38)</f>
        <v>#REF!</v>
      </c>
      <c r="H39" s="480" t="e">
        <f>'BP VERSION JANVIER 2023'!C66</f>
        <v>#REF!</v>
      </c>
      <c r="I39" s="480" t="e">
        <f>'BP FORMAT JUILLET 2023'!C65</f>
        <v>#REF!</v>
      </c>
      <c r="J39" s="629" t="e">
        <f>G39-H39</f>
        <v>#REF!</v>
      </c>
    </row>
    <row r="40" spans="2:10" s="56" customFormat="1" x14ac:dyDescent="0.25"/>
    <row r="41" spans="2:10" x14ac:dyDescent="0.25">
      <c r="B41" s="56"/>
      <c r="C41" s="371" t="s">
        <v>470</v>
      </c>
      <c r="D41" s="56"/>
      <c r="E41" s="371" t="s">
        <v>471</v>
      </c>
      <c r="F41" s="56"/>
      <c r="G41" s="293" t="s">
        <v>472</v>
      </c>
    </row>
    <row r="42" spans="2:10" s="56" customFormat="1" x14ac:dyDescent="0.25">
      <c r="B42" s="56" t="s">
        <v>456</v>
      </c>
      <c r="C42" s="469" t="e">
        <f>H14</f>
        <v>#REF!</v>
      </c>
      <c r="E42" s="469" t="e">
        <f>I14</f>
        <v>#REF!</v>
      </c>
      <c r="G42" s="469" t="e">
        <f>C42-E42</f>
        <v>#REF!</v>
      </c>
    </row>
    <row r="43" spans="2:10" s="56" customFormat="1" x14ac:dyDescent="0.25">
      <c r="B43" s="56" t="s">
        <v>61</v>
      </c>
      <c r="C43" s="469" t="e">
        <f>'BP VERSION JANVIER 2023'!J87</f>
        <v>#REF!</v>
      </c>
      <c r="E43" s="469" t="e">
        <f>I22</f>
        <v>#REF!</v>
      </c>
      <c r="G43" s="469" t="e">
        <f t="shared" ref="G43:G50" si="0">C43-E43</f>
        <v>#REF!</v>
      </c>
    </row>
    <row r="44" spans="2:10" s="56" customFormat="1" x14ac:dyDescent="0.25">
      <c r="B44" s="56" t="s">
        <v>463</v>
      </c>
      <c r="C44" s="469" t="e">
        <f>G28</f>
        <v>#REF!</v>
      </c>
      <c r="E44" s="470" t="e">
        <f>I28</f>
        <v>#REF!</v>
      </c>
      <c r="G44" s="469" t="e">
        <f t="shared" si="0"/>
        <v>#REF!</v>
      </c>
    </row>
    <row r="45" spans="2:10" s="56" customFormat="1" x14ac:dyDescent="0.25">
      <c r="B45" s="56" t="s">
        <v>482</v>
      </c>
      <c r="C45" s="469" t="e">
        <f>H34</f>
        <v>#REF!</v>
      </c>
      <c r="E45" s="463" t="e">
        <f>'BP FORMAT JUILLET 2023'!C125</f>
        <v>#REF!</v>
      </c>
      <c r="G45" s="469" t="e">
        <f t="shared" si="0"/>
        <v>#REF!</v>
      </c>
    </row>
    <row r="46" spans="2:10" s="56" customFormat="1" x14ac:dyDescent="0.25">
      <c r="B46" s="56" t="s">
        <v>473</v>
      </c>
      <c r="C46" s="476" t="e">
        <f>'BP VERSION JANVIER 2023'!F73</f>
        <v>#REF!</v>
      </c>
      <c r="E46" s="480" t="e">
        <f>'BP FORMAT JUILLET 2023'!F72+'BP FORMAT JUILLET 2023'!F74</f>
        <v>#REF!</v>
      </c>
      <c r="G46" s="469" t="e">
        <f t="shared" si="0"/>
        <v>#REF!</v>
      </c>
    </row>
    <row r="47" spans="2:10" x14ac:dyDescent="0.25">
      <c r="B47" s="56" t="s">
        <v>474</v>
      </c>
      <c r="C47" s="478" t="e">
        <f>'BP VERSION JANVIER 2023'!G73</f>
        <v>#REF!</v>
      </c>
      <c r="E47" s="478" t="e">
        <f>'BP FORMAT JUILLET 2023'!G72+'BP FORMAT JUILLET 2023'!G74+'BP FORMAT JUILLET 2023'!G75+'BP FORMAT JUILLET 2023'!G76+'BP FORMAT JUILLET 2023'!G77</f>
        <v>#REF!</v>
      </c>
      <c r="G47" s="469" t="e">
        <f t="shared" si="0"/>
        <v>#REF!</v>
      </c>
    </row>
    <row r="48" spans="2:10" x14ac:dyDescent="0.25">
      <c r="B48" s="56" t="s">
        <v>483</v>
      </c>
      <c r="C48" s="481" t="e">
        <f>H39</f>
        <v>#REF!</v>
      </c>
      <c r="E48" s="481" t="e">
        <f>I39</f>
        <v>#REF!</v>
      </c>
      <c r="G48" s="469" t="e">
        <f t="shared" si="0"/>
        <v>#REF!</v>
      </c>
    </row>
    <row r="49" spans="2:7" x14ac:dyDescent="0.25">
      <c r="B49" s="56" t="s">
        <v>475</v>
      </c>
      <c r="C49" s="478" t="e">
        <f>'BP VERSION JANVIER 2023'!G71</f>
        <v>#REF!</v>
      </c>
      <c r="E49" s="479" t="e">
        <f>'BP FORMAT JUILLET 2023'!G70</f>
        <v>#REF!</v>
      </c>
      <c r="G49" s="469" t="e">
        <f t="shared" si="0"/>
        <v>#REF!</v>
      </c>
    </row>
    <row r="50" spans="2:7" x14ac:dyDescent="0.25">
      <c r="B50" s="56" t="s">
        <v>476</v>
      </c>
      <c r="C50" s="479" t="e">
        <f>'BP VERSION JANVIER 2023'!J85</f>
        <v>#REF!</v>
      </c>
      <c r="E50" s="477" t="e">
        <f>'BP FORMAT JUILLET 2023'!J90</f>
        <v>#REF!</v>
      </c>
      <c r="G50" s="469" t="e">
        <f t="shared" si="0"/>
        <v>#REF!</v>
      </c>
    </row>
    <row r="53" spans="2:7" x14ac:dyDescent="0.25">
      <c r="B53" s="56" t="s">
        <v>484</v>
      </c>
    </row>
    <row r="54" spans="2:7" x14ac:dyDescent="0.25">
      <c r="B54" s="56" t="s">
        <v>485</v>
      </c>
    </row>
  </sheetData>
  <mergeCells count="24">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14" workbookViewId="0">
      <selection activeCell="A14" sqref="A14:F14"/>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6" width="9.5703125" style="700" customWidth="1"/>
    <col min="7" max="7" width="9.5703125" style="214" customWidth="1"/>
    <col min="8" max="9" width="9.5703125" style="24" customWidth="1"/>
    <col min="10" max="10" width="13" style="24" customWidth="1"/>
    <col min="11" max="16384" width="13.42578125" style="24"/>
  </cols>
  <sheetData>
    <row r="1" spans="1:10" ht="18" hidden="1" x14ac:dyDescent="0.3">
      <c r="A1" s="1010" t="s">
        <v>875</v>
      </c>
      <c r="B1" s="1011"/>
      <c r="C1" s="1011"/>
      <c r="D1" s="1011"/>
      <c r="E1" s="1011"/>
      <c r="F1" s="1011"/>
      <c r="G1" s="1011"/>
      <c r="H1" s="1011"/>
      <c r="I1" s="1011"/>
      <c r="J1" s="1012"/>
    </row>
    <row r="2" spans="1:10" ht="29.45" customHeight="1" x14ac:dyDescent="0.3">
      <c r="A2" s="1013" t="s">
        <v>877</v>
      </c>
      <c r="B2" s="1013"/>
      <c r="C2" s="1013"/>
      <c r="D2" s="1013"/>
      <c r="E2" s="1013"/>
      <c r="F2" s="1013"/>
      <c r="G2" s="1013"/>
      <c r="H2" s="1013"/>
      <c r="I2" s="1013"/>
      <c r="J2" s="1013"/>
    </row>
    <row r="3" spans="1:10" ht="23.45" customHeight="1" x14ac:dyDescent="0.3">
      <c r="A3" s="980" t="s">
        <v>0</v>
      </c>
      <c r="B3" s="980"/>
      <c r="C3" s="980"/>
      <c r="D3" s="980"/>
      <c r="E3" s="710"/>
      <c r="F3" s="980" t="s">
        <v>1</v>
      </c>
      <c r="G3" s="980"/>
      <c r="H3" s="980"/>
      <c r="I3" s="980"/>
      <c r="J3" s="980"/>
    </row>
    <row r="4" spans="1:10" ht="15.75" customHeight="1" x14ac:dyDescent="0.3">
      <c r="A4" s="635" t="s">
        <v>311</v>
      </c>
      <c r="B4" s="978" t="str">
        <f>'BP FORMAT JUILLET 2023'!B3</f>
        <v xml:space="preserve">ATGR </v>
      </c>
      <c r="C4" s="978"/>
      <c r="D4" s="978"/>
      <c r="E4" s="298"/>
      <c r="F4" s="724" t="s">
        <v>311</v>
      </c>
      <c r="G4" s="978" t="str">
        <f>'BP FORMAT JUILLET 2023'!G3</f>
        <v xml:space="preserve">MARTINO </v>
      </c>
      <c r="H4" s="978"/>
      <c r="I4" s="978"/>
      <c r="J4" s="978"/>
    </row>
    <row r="5" spans="1:10" ht="15.75" customHeight="1" x14ac:dyDescent="0.3">
      <c r="A5" s="635" t="s">
        <v>312</v>
      </c>
      <c r="B5" s="978" t="str">
        <f>'BP FORMAT JUILLET 2023'!B4</f>
        <v xml:space="preserve">3 Rue Paul Vaillant Couturier 92300 Levallois-Perret </v>
      </c>
      <c r="C5" s="978"/>
      <c r="D5" s="978"/>
      <c r="E5" s="298"/>
      <c r="F5" s="724" t="s">
        <v>323</v>
      </c>
      <c r="G5" s="978" t="str">
        <f>'BP FORMAT JUILLET 2023'!G4</f>
        <v xml:space="preserve">Hervé </v>
      </c>
      <c r="H5" s="978"/>
      <c r="I5" s="978"/>
      <c r="J5" s="978"/>
    </row>
    <row r="6" spans="1:10" ht="15.75" customHeight="1" x14ac:dyDescent="0.3">
      <c r="A6" s="635"/>
      <c r="B6" s="978"/>
      <c r="C6" s="978"/>
      <c r="D6" s="978"/>
      <c r="E6" s="298"/>
      <c r="F6" s="724" t="s">
        <v>324</v>
      </c>
      <c r="G6" s="978" t="str">
        <f>'BP FORMAT JUILLET 2023'!G5</f>
        <v>Responsable Paie</v>
      </c>
      <c r="H6" s="978"/>
      <c r="I6" s="978"/>
      <c r="J6" s="978"/>
    </row>
    <row r="7" spans="1:10" ht="15.75" customHeight="1" x14ac:dyDescent="0.3">
      <c r="A7" s="635" t="s">
        <v>6</v>
      </c>
      <c r="B7" s="979">
        <f>'BP FORMAT JUILLET 2023'!B6</f>
        <v>34464426500029</v>
      </c>
      <c r="C7" s="979"/>
      <c r="D7" s="979"/>
      <c r="E7" s="300"/>
      <c r="F7" s="724" t="s">
        <v>852</v>
      </c>
      <c r="G7" s="978">
        <f>'BP FORMAT JUILLET 2023'!G6</f>
        <v>450</v>
      </c>
      <c r="H7" s="978"/>
      <c r="I7" s="978"/>
      <c r="J7" s="978"/>
    </row>
    <row r="8" spans="1:10" ht="15.75" customHeight="1" x14ac:dyDescent="0.3">
      <c r="A8" s="635" t="s">
        <v>8</v>
      </c>
      <c r="B8" s="978" t="str">
        <f>'BP FORMAT JUILLET 2023'!B7</f>
        <v xml:space="preserve">7111C </v>
      </c>
      <c r="C8" s="978"/>
      <c r="D8" s="978"/>
      <c r="E8" s="298"/>
      <c r="F8" s="724" t="s">
        <v>855</v>
      </c>
      <c r="G8" s="978" t="str">
        <f>'BP FORMAT JUILLET 2023'!G7</f>
        <v>1.63.11.59.52.55.</v>
      </c>
      <c r="H8" s="978"/>
      <c r="I8" s="978"/>
      <c r="J8" s="978"/>
    </row>
    <row r="9" spans="1:10" ht="15.75" customHeight="1" x14ac:dyDescent="0.3">
      <c r="A9" s="635" t="s">
        <v>10</v>
      </c>
      <c r="B9" s="978">
        <f>'BP FORMAT JUILLET 2023'!B8</f>
        <v>0</v>
      </c>
      <c r="C9" s="978"/>
      <c r="D9" s="978"/>
      <c r="E9" s="300"/>
      <c r="F9" s="724" t="s">
        <v>312</v>
      </c>
      <c r="G9" s="978" t="str">
        <f>'BP FORMAT JUILLET 2023'!G8</f>
        <v xml:space="preserve">3 Rue Paul  92700 Colombes </v>
      </c>
      <c r="H9" s="978"/>
      <c r="I9" s="978"/>
      <c r="J9" s="978"/>
    </row>
    <row r="10" spans="1:10" ht="15.75" customHeight="1" x14ac:dyDescent="0.3">
      <c r="A10" s="635" t="s">
        <v>11</v>
      </c>
      <c r="B10" s="704">
        <f>'BP FORMAT JUILLET 2023'!B9</f>
        <v>30</v>
      </c>
      <c r="C10" s="983"/>
      <c r="D10" s="983"/>
      <c r="E10" s="298"/>
      <c r="F10" s="984" t="s">
        <v>12</v>
      </c>
      <c r="G10" s="984"/>
      <c r="H10" s="705"/>
      <c r="I10" s="703">
        <f>'BP FORMAT JUILLET 2023'!I9</f>
        <v>2</v>
      </c>
      <c r="J10" s="703" t="str">
        <f>'BP FORMAT JUILLET 2023'!J9</f>
        <v>C</v>
      </c>
    </row>
    <row r="11" spans="1:10" ht="23.45" customHeight="1" x14ac:dyDescent="0.3">
      <c r="A11" s="635" t="s">
        <v>13</v>
      </c>
      <c r="B11" s="706">
        <f>'BP FORMAT JUILLET 2023'!B10</f>
        <v>0</v>
      </c>
      <c r="C11" s="677" t="s">
        <v>14</v>
      </c>
      <c r="D11" s="678">
        <f>'BP FORMAT JUILLET 2023'!D10</f>
        <v>0</v>
      </c>
      <c r="E11" s="298"/>
      <c r="F11" s="985" t="s">
        <v>859</v>
      </c>
      <c r="G11" s="985"/>
      <c r="H11" s="707">
        <f>'BP FORMAT JUILLET 2023'!H10</f>
        <v>45658</v>
      </c>
      <c r="I11" s="708" t="s">
        <v>860</v>
      </c>
      <c r="J11" s="707">
        <f>'BP FORMAT JUILLET 2023'!J10</f>
        <v>45688</v>
      </c>
    </row>
    <row r="12" spans="1:10" ht="25.15" customHeight="1" x14ac:dyDescent="0.3">
      <c r="A12" s="635" t="s">
        <v>876</v>
      </c>
      <c r="B12" s="986" t="str">
        <f>'BP FORMAT JUILLET 2023'!B11</f>
        <v xml:space="preserve">Articles du code du travail : durée des congés payés : L. 3141-3 à 11, L. 3141-23 durée du préavis : L 1234-1 et L. 1234-2, L 1237-1, L 1237-6, L 1237-10 </v>
      </c>
      <c r="C12" s="987"/>
      <c r="D12" s="987"/>
      <c r="E12" s="310"/>
      <c r="F12" s="725" t="s">
        <v>16</v>
      </c>
      <c r="G12" s="709">
        <f>'BP FORMAT JUILLET 2023'!G11</f>
        <v>45688</v>
      </c>
      <c r="H12" s="59"/>
      <c r="I12" s="59"/>
      <c r="J12" s="59"/>
    </row>
    <row r="13" spans="1:10" ht="13.9" hidden="1" customHeight="1" x14ac:dyDescent="0.3">
      <c r="A13" s="981"/>
      <c r="B13" s="981"/>
      <c r="C13" s="981"/>
      <c r="D13" s="981"/>
      <c r="E13" s="981"/>
      <c r="F13" s="981"/>
      <c r="G13" s="981"/>
      <c r="H13" s="981"/>
      <c r="I13" s="981"/>
      <c r="J13" s="981"/>
    </row>
    <row r="14" spans="1:10" ht="19.149999999999999" customHeight="1" x14ac:dyDescent="0.3">
      <c r="A14" s="982" t="s">
        <v>17</v>
      </c>
      <c r="B14" s="982"/>
      <c r="C14" s="982"/>
      <c r="D14" s="982"/>
      <c r="E14" s="982"/>
      <c r="F14" s="982"/>
      <c r="G14" s="679">
        <v>151.66999999999999</v>
      </c>
      <c r="H14" s="677" t="s">
        <v>18</v>
      </c>
      <c r="I14" s="680" t="e">
        <f>J14/G14</f>
        <v>#REF!</v>
      </c>
      <c r="J14" s="681" t="e">
        <f>'BP FORMAT JUILLET 2023'!J13</f>
        <v>#REF!</v>
      </c>
    </row>
    <row r="15" spans="1:10" ht="22.15" hidden="1" customHeight="1" x14ac:dyDescent="0.3">
      <c r="A15" s="982" t="s">
        <v>228</v>
      </c>
      <c r="B15" s="982"/>
      <c r="C15" s="982"/>
      <c r="D15" s="982"/>
      <c r="E15" s="982"/>
      <c r="F15" s="982"/>
      <c r="G15" s="677"/>
      <c r="H15" s="677"/>
      <c r="I15" s="680"/>
      <c r="J15" s="681">
        <f>'BP FORMAT JUILLET 2023'!J14</f>
        <v>0</v>
      </c>
    </row>
    <row r="16" spans="1:10" ht="22.15" hidden="1" customHeight="1" x14ac:dyDescent="0.3">
      <c r="A16" s="982" t="s">
        <v>400</v>
      </c>
      <c r="B16" s="982"/>
      <c r="C16" s="982"/>
      <c r="D16" s="982"/>
      <c r="E16" s="982"/>
      <c r="F16" s="982"/>
      <c r="G16" s="682"/>
      <c r="H16" s="683"/>
      <c r="I16" s="680"/>
      <c r="J16" s="681">
        <f>'BP FORMAT JUILLET 2023'!J15</f>
        <v>0</v>
      </c>
    </row>
    <row r="17" spans="1:10" ht="22.15" hidden="1" customHeight="1" x14ac:dyDescent="0.3">
      <c r="A17" s="982" t="s">
        <v>861</v>
      </c>
      <c r="B17" s="982"/>
      <c r="C17" s="982"/>
      <c r="D17" s="982"/>
      <c r="E17" s="982"/>
      <c r="F17" s="982"/>
      <c r="G17" s="682"/>
      <c r="H17" s="683"/>
      <c r="I17" s="680"/>
      <c r="J17" s="681">
        <f>'BP FORMAT JUILLET 2023'!J16</f>
        <v>0</v>
      </c>
    </row>
    <row r="18" spans="1:10" ht="22.15" hidden="1" customHeight="1" x14ac:dyDescent="0.3">
      <c r="A18" s="982" t="s">
        <v>19</v>
      </c>
      <c r="B18" s="982"/>
      <c r="C18" s="982"/>
      <c r="D18" s="982"/>
      <c r="E18" s="982"/>
      <c r="F18" s="982"/>
      <c r="G18" s="682"/>
      <c r="H18" s="683" t="s">
        <v>18</v>
      </c>
      <c r="I18" s="680"/>
      <c r="J18" s="681">
        <f>'BP FORMAT JUILLET 2023'!J17</f>
        <v>0</v>
      </c>
    </row>
    <row r="19" spans="1:10" ht="22.15" hidden="1" customHeight="1" x14ac:dyDescent="0.3">
      <c r="A19" s="982" t="s">
        <v>229</v>
      </c>
      <c r="B19" s="982"/>
      <c r="C19" s="982"/>
      <c r="D19" s="982"/>
      <c r="E19" s="982"/>
      <c r="F19" s="982"/>
      <c r="G19" s="682"/>
      <c r="H19" s="683" t="s">
        <v>18</v>
      </c>
      <c r="I19" s="680"/>
      <c r="J19" s="681">
        <f>'BP FORMAT JUILLET 2023'!J18</f>
        <v>0</v>
      </c>
    </row>
    <row r="20" spans="1:10" ht="22.15" hidden="1" customHeight="1" x14ac:dyDescent="0.3">
      <c r="A20" s="982" t="s">
        <v>230</v>
      </c>
      <c r="B20" s="982"/>
      <c r="C20" s="982"/>
      <c r="D20" s="982"/>
      <c r="E20" s="982"/>
      <c r="F20" s="982"/>
      <c r="G20" s="682"/>
      <c r="H20" s="683" t="s">
        <v>18</v>
      </c>
      <c r="I20" s="680"/>
      <c r="J20" s="681" t="e">
        <f>'BP FORMAT JUILLET 2023'!J19</f>
        <v>#REF!</v>
      </c>
    </row>
    <row r="21" spans="1:10" ht="22.15" customHeight="1" x14ac:dyDescent="0.3">
      <c r="A21" s="982" t="s">
        <v>231</v>
      </c>
      <c r="B21" s="982"/>
      <c r="C21" s="982"/>
      <c r="D21" s="982"/>
      <c r="E21" s="982"/>
      <c r="F21" s="982"/>
      <c r="G21" s="682"/>
      <c r="H21" s="683" t="s">
        <v>18</v>
      </c>
      <c r="I21" s="680"/>
      <c r="J21" s="681" t="e">
        <f>'BP FORMAT JUILLET 2023'!J20</f>
        <v>#REF!</v>
      </c>
    </row>
    <row r="22" spans="1:10" ht="19.899999999999999" customHeight="1" x14ac:dyDescent="0.3">
      <c r="A22" s="982" t="s">
        <v>232</v>
      </c>
      <c r="B22" s="982"/>
      <c r="C22" s="982"/>
      <c r="D22" s="982"/>
      <c r="E22" s="982"/>
      <c r="F22" s="982"/>
      <c r="G22" s="684" t="e">
        <f>'BP FORMAT JUILLET 2023'!G21</f>
        <v>#REF!</v>
      </c>
      <c r="H22" s="683" t="s">
        <v>18</v>
      </c>
      <c r="I22" s="680" t="e">
        <f>ROUND(((J14+J17)*1.25/G14),6)</f>
        <v>#REF!</v>
      </c>
      <c r="J22" s="681" t="e">
        <f>'BP FORMAT JUILLET 2023'!J21</f>
        <v>#REF!</v>
      </c>
    </row>
    <row r="23" spans="1:10" ht="22.15" hidden="1" customHeight="1" x14ac:dyDescent="0.3">
      <c r="A23" s="982" t="s">
        <v>233</v>
      </c>
      <c r="B23" s="982"/>
      <c r="C23" s="982"/>
      <c r="D23" s="982"/>
      <c r="E23" s="982"/>
      <c r="F23" s="982"/>
      <c r="G23" s="682"/>
      <c r="H23" s="683" t="s">
        <v>20</v>
      </c>
      <c r="I23" s="677"/>
      <c r="J23" s="681" t="e">
        <f>'BP FORMAT JUILLET 2023'!J22</f>
        <v>#REF!</v>
      </c>
    </row>
    <row r="24" spans="1:10" ht="22.15" customHeight="1" x14ac:dyDescent="0.3">
      <c r="A24" s="982" t="s">
        <v>918</v>
      </c>
      <c r="B24" s="982"/>
      <c r="C24" s="982"/>
      <c r="D24" s="982"/>
      <c r="E24" s="982"/>
      <c r="F24" s="982"/>
      <c r="G24" s="298"/>
      <c r="H24" s="685"/>
      <c r="I24" s="686"/>
      <c r="J24" s="681" t="e">
        <f>'BP FORMAT JUILLET 2023'!J23</f>
        <v>#REF!</v>
      </c>
    </row>
    <row r="25" spans="1:10" ht="22.15" hidden="1" customHeight="1" x14ac:dyDescent="0.3">
      <c r="A25" s="985" t="s">
        <v>21</v>
      </c>
      <c r="B25" s="985"/>
      <c r="C25" s="985"/>
      <c r="D25" s="985"/>
      <c r="E25" s="985"/>
      <c r="F25" s="985"/>
      <c r="G25" s="298"/>
      <c r="H25" s="685"/>
      <c r="I25" s="686"/>
      <c r="J25" s="681">
        <f>'BP FORMAT JUILLET 2023'!J24</f>
        <v>0</v>
      </c>
    </row>
    <row r="26" spans="1:10" ht="22.15" hidden="1" customHeight="1" x14ac:dyDescent="0.3">
      <c r="A26" s="985" t="s">
        <v>22</v>
      </c>
      <c r="B26" s="985"/>
      <c r="C26" s="985"/>
      <c r="D26" s="985"/>
      <c r="E26" s="985"/>
      <c r="F26" s="985"/>
      <c r="G26" s="298"/>
      <c r="H26" s="685"/>
      <c r="I26" s="686"/>
      <c r="J26" s="681">
        <f>'BP FORMAT JUILLET 2023'!J25</f>
        <v>0</v>
      </c>
    </row>
    <row r="27" spans="1:10" ht="22.15" hidden="1" customHeight="1" x14ac:dyDescent="0.3">
      <c r="A27" s="985" t="s">
        <v>23</v>
      </c>
      <c r="B27" s="985"/>
      <c r="C27" s="985"/>
      <c r="D27" s="985"/>
      <c r="E27" s="985"/>
      <c r="F27" s="985"/>
      <c r="G27" s="298"/>
      <c r="H27" s="685"/>
      <c r="I27" s="686"/>
      <c r="J27" s="681">
        <f>'BP FORMAT JUILLET 2023'!J26</f>
        <v>0</v>
      </c>
    </row>
    <row r="28" spans="1:10" ht="22.15" hidden="1" customHeight="1" x14ac:dyDescent="0.3">
      <c r="A28" s="985" t="s">
        <v>24</v>
      </c>
      <c r="B28" s="985"/>
      <c r="C28" s="985"/>
      <c r="D28" s="985"/>
      <c r="E28" s="985"/>
      <c r="F28" s="985"/>
      <c r="G28" s="298"/>
      <c r="H28" s="685"/>
      <c r="I28" s="686"/>
      <c r="J28" s="681">
        <f>'BP FORMAT JUILLET 2023'!J27</f>
        <v>0</v>
      </c>
    </row>
    <row r="29" spans="1:10" ht="22.15" hidden="1" customHeight="1" x14ac:dyDescent="0.3">
      <c r="A29" s="985" t="s">
        <v>25</v>
      </c>
      <c r="B29" s="985"/>
      <c r="C29" s="985"/>
      <c r="D29" s="985"/>
      <c r="E29" s="985"/>
      <c r="F29" s="985"/>
      <c r="G29" s="298"/>
      <c r="H29" s="685"/>
      <c r="I29" s="686"/>
      <c r="J29" s="681">
        <f>'BP FORMAT JUILLET 2023'!J28</f>
        <v>0</v>
      </c>
    </row>
    <row r="30" spans="1:10" ht="22.15" hidden="1" customHeight="1" x14ac:dyDescent="0.3">
      <c r="A30" s="985" t="s">
        <v>26</v>
      </c>
      <c r="B30" s="985"/>
      <c r="C30" s="985"/>
      <c r="D30" s="985"/>
      <c r="E30" s="985"/>
      <c r="F30" s="985"/>
      <c r="G30" s="298"/>
      <c r="H30" s="685"/>
      <c r="I30" s="686"/>
      <c r="J30" s="681">
        <f>'BP FORMAT JUILLET 2023'!J29</f>
        <v>0</v>
      </c>
    </row>
    <row r="31" spans="1:10" ht="22.15" hidden="1" customHeight="1" x14ac:dyDescent="0.3">
      <c r="A31" s="985" t="s">
        <v>27</v>
      </c>
      <c r="B31" s="985"/>
      <c r="C31" s="985"/>
      <c r="D31" s="985"/>
      <c r="E31" s="985"/>
      <c r="F31" s="985"/>
      <c r="G31" s="298"/>
      <c r="H31" s="685"/>
      <c r="I31" s="686"/>
      <c r="J31" s="681">
        <f>'BP FORMAT JUILLET 2023'!J30</f>
        <v>0</v>
      </c>
    </row>
    <row r="32" spans="1:10" ht="22.15" hidden="1" customHeight="1" x14ac:dyDescent="0.3">
      <c r="A32" s="985" t="s">
        <v>28</v>
      </c>
      <c r="B32" s="985"/>
      <c r="C32" s="985"/>
      <c r="D32" s="985"/>
      <c r="E32" s="985"/>
      <c r="F32" s="985"/>
      <c r="G32" s="298"/>
      <c r="H32" s="685"/>
      <c r="I32" s="686"/>
      <c r="J32" s="681">
        <f>'BP FORMAT JUILLET 2023'!J31</f>
        <v>0</v>
      </c>
    </row>
    <row r="33" spans="1:10" ht="22.15" hidden="1" customHeight="1" x14ac:dyDescent="0.3">
      <c r="A33" s="985"/>
      <c r="B33" s="985"/>
      <c r="C33" s="985"/>
      <c r="D33" s="985"/>
      <c r="E33" s="985"/>
      <c r="F33" s="985"/>
      <c r="G33" s="298"/>
      <c r="H33" s="685"/>
      <c r="I33" s="686"/>
      <c r="J33" s="681">
        <f>'BP FORMAT JUILLET 2023'!J32</f>
        <v>0</v>
      </c>
    </row>
    <row r="34" spans="1:10" ht="22.15" customHeight="1" x14ac:dyDescent="0.3">
      <c r="A34" s="982" t="s">
        <v>29</v>
      </c>
      <c r="B34" s="982"/>
      <c r="C34" s="678">
        <v>3925</v>
      </c>
      <c r="D34" s="992" t="s">
        <v>30</v>
      </c>
      <c r="E34" s="992"/>
      <c r="F34" s="992"/>
      <c r="G34" s="992"/>
      <c r="H34" s="992"/>
      <c r="I34" s="992"/>
      <c r="J34" s="712" t="e">
        <f>'BP FORMAT JUILLET 2023'!J33</f>
        <v>#REF!</v>
      </c>
    </row>
    <row r="35" spans="1:10" ht="13.9" hidden="1" customHeight="1" x14ac:dyDescent="0.3">
      <c r="A35" s="981"/>
      <c r="B35" s="981"/>
      <c r="C35" s="981"/>
      <c r="D35" s="981"/>
      <c r="E35" s="981"/>
      <c r="F35" s="981"/>
      <c r="G35" s="981"/>
      <c r="H35" s="981"/>
      <c r="I35" s="981"/>
      <c r="J35" s="981"/>
    </row>
    <row r="36" spans="1:10" ht="36" customHeight="1" x14ac:dyDescent="0.3">
      <c r="A36" s="988" t="s">
        <v>282</v>
      </c>
      <c r="B36" s="988"/>
      <c r="C36" s="989" t="s">
        <v>32</v>
      </c>
      <c r="D36" s="989"/>
      <c r="E36" s="711" t="s">
        <v>33</v>
      </c>
      <c r="F36" s="726" t="s">
        <v>34</v>
      </c>
      <c r="G36" s="989" t="s">
        <v>35</v>
      </c>
      <c r="H36" s="989"/>
      <c r="I36" s="989" t="s">
        <v>36</v>
      </c>
      <c r="J36" s="989"/>
    </row>
    <row r="37" spans="1:10" ht="17.45" customHeight="1" x14ac:dyDescent="0.3">
      <c r="A37" s="990" t="s">
        <v>37</v>
      </c>
      <c r="B37" s="990"/>
      <c r="C37" s="991"/>
      <c r="D37" s="991"/>
      <c r="E37" s="991"/>
      <c r="F37" s="991"/>
      <c r="G37" s="991"/>
      <c r="H37" s="991"/>
      <c r="I37" s="991"/>
      <c r="J37" s="991"/>
    </row>
    <row r="38" spans="1:10" ht="24" customHeight="1" x14ac:dyDescent="0.3">
      <c r="A38" s="994" t="s">
        <v>265</v>
      </c>
      <c r="B38" s="994"/>
      <c r="C38" s="993" t="e">
        <f>'BP FORMAT JUILLET 2023'!C37</f>
        <v>#REF!</v>
      </c>
      <c r="D38" s="993"/>
      <c r="E38" s="714"/>
      <c r="F38" s="715">
        <f>VLOOKUP(A38,TABLETAUX1,4,FALSE)</f>
        <v>7.0000000000000007E-2</v>
      </c>
      <c r="G38" s="993" t="e">
        <f>ROUND(C38*E38,2)</f>
        <v>#REF!</v>
      </c>
      <c r="H38" s="993"/>
      <c r="I38" s="993" t="e">
        <f>'BP FORMAT JUILLET 2023'!G37</f>
        <v>#REF!</v>
      </c>
      <c r="J38" s="993"/>
    </row>
    <row r="39" spans="1:10" ht="21" customHeight="1" x14ac:dyDescent="0.3">
      <c r="A39" s="994" t="s">
        <v>199</v>
      </c>
      <c r="B39" s="994"/>
      <c r="C39" s="993" t="e">
        <f>'BP FORMAT JUILLET 2023'!C38</f>
        <v>#REF!</v>
      </c>
      <c r="D39" s="993"/>
      <c r="E39" s="714"/>
      <c r="F39" s="715">
        <f>VLOOKUP(A39,TABLETAUX1,4,FALSE)</f>
        <v>0.06</v>
      </c>
      <c r="G39" s="993" t="e">
        <f t="shared" ref="G39:G43" si="0">ROUND(C39*E39,2)</f>
        <v>#REF!</v>
      </c>
      <c r="H39" s="993"/>
      <c r="I39" s="993" t="e">
        <f>'BP FORMAT JUILLET 2023'!G38</f>
        <v>#REF!</v>
      </c>
      <c r="J39" s="993"/>
    </row>
    <row r="40" spans="1:10" ht="21.6" hidden="1" customHeight="1" x14ac:dyDescent="0.3">
      <c r="A40" s="936"/>
      <c r="B40" s="936"/>
      <c r="C40" s="993">
        <f>'BP FORMAT JUILLET 2023'!C39</f>
        <v>0</v>
      </c>
      <c r="D40" s="993"/>
      <c r="E40" s="203"/>
      <c r="F40" s="715" t="e">
        <f>VLOOKUP(A40,TABLETAUX1,4,FALSE)</f>
        <v>#N/A</v>
      </c>
      <c r="G40" s="993">
        <f t="shared" si="0"/>
        <v>0</v>
      </c>
      <c r="H40" s="993"/>
      <c r="I40" s="993">
        <f>'BP FORMAT JUILLET 2023'!G39</f>
        <v>0</v>
      </c>
      <c r="J40" s="993"/>
    </row>
    <row r="41" spans="1:10" ht="21.6" hidden="1" customHeight="1" x14ac:dyDescent="0.3">
      <c r="A41" s="994" t="s">
        <v>243</v>
      </c>
      <c r="B41" s="994"/>
      <c r="C41" s="993">
        <f>'BP FORMAT JUILLET 2023'!C40</f>
        <v>0</v>
      </c>
      <c r="D41" s="993"/>
      <c r="E41" s="714">
        <f>VLOOKUP(A41,TABLETAUX1,3,FALSE)</f>
        <v>0.01</v>
      </c>
      <c r="F41" s="715">
        <f>VLOOKUP(A41,TABLETAUX1,4,FALSE)</f>
        <v>1.7999999999999999E-2</v>
      </c>
      <c r="G41" s="993">
        <f t="shared" si="0"/>
        <v>0</v>
      </c>
      <c r="H41" s="993"/>
      <c r="I41" s="993">
        <f>'BP FORMAT JUILLET 2023'!G40</f>
        <v>0</v>
      </c>
      <c r="J41" s="993"/>
    </row>
    <row r="42" spans="1:10" ht="21.6" hidden="1" customHeight="1" x14ac:dyDescent="0.3">
      <c r="A42" s="995" t="s">
        <v>200</v>
      </c>
      <c r="B42" s="995"/>
      <c r="C42" s="993">
        <f>'BP FORMAT JUILLET 2023'!C41</f>
        <v>0</v>
      </c>
      <c r="D42" s="993"/>
      <c r="E42" s="714"/>
      <c r="F42" s="715"/>
      <c r="G42" s="993">
        <f t="shared" si="0"/>
        <v>0</v>
      </c>
      <c r="H42" s="993"/>
      <c r="I42" s="993">
        <f>'BP FORMAT JUILLET 2023'!G41</f>
        <v>0</v>
      </c>
      <c r="J42" s="993"/>
    </row>
    <row r="43" spans="1:10" ht="21.6" customHeight="1" x14ac:dyDescent="0.3">
      <c r="A43" s="994" t="s">
        <v>195</v>
      </c>
      <c r="B43" s="994"/>
      <c r="C43" s="993" t="e">
        <f>'BP FORMAT JUILLET 2023'!C43</f>
        <v>#REF!</v>
      </c>
      <c r="D43" s="993"/>
      <c r="E43" s="714">
        <f>'BP FORMAT JUILLET 2023'!D43</f>
        <v>8.0000000000000002E-3</v>
      </c>
      <c r="F43" s="715">
        <f>'BP FORMAT JUILLET 2023'!E43</f>
        <v>1.7000000000000001E-2</v>
      </c>
      <c r="G43" s="993" t="e">
        <f t="shared" si="0"/>
        <v>#REF!</v>
      </c>
      <c r="H43" s="993"/>
      <c r="I43" s="993" t="e">
        <f>'BP FORMAT JUILLET 2023'!G43</f>
        <v>#REF!</v>
      </c>
      <c r="J43" s="993"/>
    </row>
    <row r="44" spans="1:10" ht="21.6" hidden="1" customHeight="1" x14ac:dyDescent="0.3">
      <c r="A44" s="994"/>
      <c r="B44" s="994"/>
      <c r="C44" s="993" t="e">
        <f>'BP FORMAT JUILLET 2023'!C43</f>
        <v>#REF!</v>
      </c>
      <c r="D44" s="993"/>
      <c r="E44" s="714">
        <f>'BP FORMAT JUILLET 2023'!D44</f>
        <v>0</v>
      </c>
      <c r="F44" s="715">
        <f>'BP FORMAT JUILLET 2023'!E44</f>
        <v>1.4999999999999999E-2</v>
      </c>
      <c r="G44" s="993" t="e">
        <f t="shared" ref="G44:G45" si="1">ROUND(C44*E44,2)</f>
        <v>#REF!</v>
      </c>
      <c r="H44" s="993"/>
      <c r="I44" s="993" t="e">
        <f>'BP FORMAT JUILLET 2023'!G44</f>
        <v>#REF!</v>
      </c>
      <c r="J44" s="993"/>
    </row>
    <row r="45" spans="1:10" ht="21.6" hidden="1" customHeight="1" x14ac:dyDescent="0.3">
      <c r="A45" s="934"/>
      <c r="B45" s="934"/>
      <c r="C45" s="993" t="e">
        <f>'BP FORMAT JUILLET 2023'!C44</f>
        <v>#REF!</v>
      </c>
      <c r="D45" s="993"/>
      <c r="E45" s="714">
        <f>'BP FORMAT JUILLET 2023'!D45</f>
        <v>0</v>
      </c>
      <c r="F45" s="715">
        <f>'BP FORMAT JUILLET 2023'!E45</f>
        <v>0</v>
      </c>
      <c r="G45" s="993" t="e">
        <f t="shared" si="1"/>
        <v>#REF!</v>
      </c>
      <c r="H45" s="993"/>
      <c r="I45" s="993">
        <f>'BP FORMAT JUILLET 2023'!G45</f>
        <v>0</v>
      </c>
      <c r="J45" s="993"/>
    </row>
    <row r="46" spans="1:10" ht="21.6" customHeight="1" x14ac:dyDescent="0.3">
      <c r="A46" s="990" t="s">
        <v>38</v>
      </c>
      <c r="B46" s="990"/>
      <c r="C46" s="996"/>
      <c r="D46" s="996"/>
      <c r="E46" s="688"/>
      <c r="F46" s="715">
        <f>'BP FORMAT JUILLET 2023'!E49</f>
        <v>1.4999999999999999E-2</v>
      </c>
      <c r="G46" s="996"/>
      <c r="H46" s="996"/>
      <c r="I46" s="993" t="e">
        <f>'BP FORMAT JUILLET 2023'!G49</f>
        <v>#REF!</v>
      </c>
      <c r="J46" s="993"/>
    </row>
    <row r="47" spans="1:10" ht="17.45" customHeight="1" x14ac:dyDescent="0.3">
      <c r="A47" s="990" t="s">
        <v>39</v>
      </c>
      <c r="B47" s="990"/>
      <c r="C47" s="996"/>
      <c r="D47" s="996"/>
      <c r="E47" s="688"/>
      <c r="F47" s="689"/>
      <c r="G47" s="996"/>
      <c r="H47" s="996"/>
      <c r="I47" s="996"/>
      <c r="J47" s="996"/>
    </row>
    <row r="48" spans="1:10" ht="20.45" customHeight="1" x14ac:dyDescent="0.3">
      <c r="A48" s="994" t="s">
        <v>40</v>
      </c>
      <c r="B48" s="994"/>
      <c r="C48" s="993" t="e">
        <f>'BP FORMAT JUILLET 2023'!C51</f>
        <v>#REF!</v>
      </c>
      <c r="D48" s="993"/>
      <c r="E48" s="714">
        <f>'BP FORMAT JUILLET 2023'!D51</f>
        <v>6.9000000000000006E-2</v>
      </c>
      <c r="F48" s="715">
        <f>'BP FORMAT JUILLET 2023'!E51</f>
        <v>8.5500000000000007E-2</v>
      </c>
      <c r="G48" s="993" t="e">
        <f>'BP FORMAT JUILLET 2023'!F51</f>
        <v>#REF!</v>
      </c>
      <c r="H48" s="993"/>
      <c r="I48" s="993" t="e">
        <f>'BP FORMAT JUILLET 2023'!G51</f>
        <v>#REF!</v>
      </c>
      <c r="J48" s="993"/>
    </row>
    <row r="49" spans="1:10" ht="20.45" customHeight="1" x14ac:dyDescent="0.3">
      <c r="A49" s="994" t="s">
        <v>41</v>
      </c>
      <c r="B49" s="994"/>
      <c r="C49" s="993" t="e">
        <f>'BP FORMAT JUILLET 2023'!C52</f>
        <v>#REF!</v>
      </c>
      <c r="D49" s="993"/>
      <c r="E49" s="714">
        <f>'BP FORMAT JUILLET 2023'!D52</f>
        <v>4.0000000000000001E-3</v>
      </c>
      <c r="F49" s="715">
        <f>'BP FORMAT JUILLET 2023'!E52</f>
        <v>2.0199999999999999E-2</v>
      </c>
      <c r="G49" s="993" t="e">
        <f>'BP FORMAT JUILLET 2023'!F52</f>
        <v>#REF!</v>
      </c>
      <c r="H49" s="993"/>
      <c r="I49" s="993" t="e">
        <f>'BP FORMAT JUILLET 2023'!G52</f>
        <v>#REF!</v>
      </c>
      <c r="J49" s="993"/>
    </row>
    <row r="50" spans="1:10" ht="16.899999999999999" customHeight="1" x14ac:dyDescent="0.3">
      <c r="A50" s="994" t="s">
        <v>42</v>
      </c>
      <c r="B50" s="994"/>
      <c r="C50" s="993" t="e">
        <f>'BP FORMAT JUILLET 2023'!C53</f>
        <v>#REF!</v>
      </c>
      <c r="D50" s="993"/>
      <c r="E50" s="714" t="e">
        <f>'BP FORMAT JUILLET 2023'!D53</f>
        <v>#REF!</v>
      </c>
      <c r="F50" s="715" t="e">
        <f>'BP FORMAT JUILLET 2023'!E53</f>
        <v>#REF!</v>
      </c>
      <c r="G50" s="993" t="e">
        <f>'BP FORMAT JUILLET 2023'!F53</f>
        <v>#REF!</v>
      </c>
      <c r="H50" s="993"/>
      <c r="I50" s="993" t="e">
        <f>'BP FORMAT JUILLET 2023'!G53</f>
        <v>#REF!</v>
      </c>
      <c r="J50" s="993"/>
    </row>
    <row r="51" spans="1:10" ht="18" hidden="1" customHeight="1" x14ac:dyDescent="0.3">
      <c r="A51" s="994" t="s">
        <v>43</v>
      </c>
      <c r="B51" s="994"/>
      <c r="C51" s="993" t="e">
        <f>'BP FORMAT JUILLET 2023'!C54</f>
        <v>#REF!</v>
      </c>
      <c r="D51" s="993"/>
      <c r="E51" s="714" t="e">
        <f>'BP FORMAT JUILLET 2023'!D54</f>
        <v>#REF!</v>
      </c>
      <c r="F51" s="715" t="e">
        <f>'BP FORMAT JUILLET 2023'!E54</f>
        <v>#REF!</v>
      </c>
      <c r="G51" s="993" t="e">
        <f>'BP FORMAT JUILLET 2023'!F54</f>
        <v>#REF!</v>
      </c>
      <c r="H51" s="993"/>
      <c r="I51" s="993" t="e">
        <f>'BP FORMAT JUILLET 2023'!G54</f>
        <v>#REF!</v>
      </c>
      <c r="J51" s="993"/>
    </row>
    <row r="52" spans="1:10" ht="18" hidden="1" customHeight="1" x14ac:dyDescent="0.3">
      <c r="A52" s="997" t="s">
        <v>74</v>
      </c>
      <c r="B52" s="997"/>
      <c r="C52" s="993">
        <f>'BP FORMAT JUILLET 2023'!C55</f>
        <v>0</v>
      </c>
      <c r="D52" s="993"/>
      <c r="E52" s="714">
        <f>'BP FORMAT JUILLET 2023'!D55</f>
        <v>0</v>
      </c>
      <c r="F52" s="715">
        <f>'BP FORMAT JUILLET 2023'!E55</f>
        <v>0</v>
      </c>
      <c r="G52" s="993">
        <f>'BP FORMAT JUILLET 2023'!F55</f>
        <v>0</v>
      </c>
      <c r="H52" s="993"/>
      <c r="I52" s="993">
        <f>'BP FORMAT JUILLET 2023'!G55</f>
        <v>0</v>
      </c>
      <c r="J52" s="993"/>
    </row>
    <row r="53" spans="1:10" ht="18" hidden="1" customHeight="1" x14ac:dyDescent="0.3">
      <c r="A53" s="997" t="s">
        <v>75</v>
      </c>
      <c r="B53" s="997"/>
      <c r="C53" s="993">
        <f>'BP FORMAT JUILLET 2023'!C56</f>
        <v>0</v>
      </c>
      <c r="D53" s="993"/>
      <c r="E53" s="714">
        <f>'BP FORMAT JUILLET 2023'!D56</f>
        <v>0</v>
      </c>
      <c r="F53" s="715">
        <f>'BP FORMAT JUILLET 2023'!E56</f>
        <v>0</v>
      </c>
      <c r="G53" s="993">
        <f>'BP FORMAT JUILLET 2023'!F56</f>
        <v>0</v>
      </c>
      <c r="H53" s="993"/>
      <c r="I53" s="993">
        <f>'BP FORMAT JUILLET 2023'!G56</f>
        <v>0</v>
      </c>
      <c r="J53" s="993"/>
    </row>
    <row r="54" spans="1:10" ht="18" hidden="1" customHeight="1" x14ac:dyDescent="0.3">
      <c r="A54" s="997" t="s">
        <v>76</v>
      </c>
      <c r="B54" s="997"/>
      <c r="C54" s="993">
        <f>'BP FORMAT JUILLET 2023'!C57</f>
        <v>0</v>
      </c>
      <c r="D54" s="993"/>
      <c r="E54" s="714">
        <f>'BP FORMAT JUILLET 2023'!D57</f>
        <v>0</v>
      </c>
      <c r="F54" s="715">
        <f>'BP FORMAT JUILLET 2023'!E57</f>
        <v>0</v>
      </c>
      <c r="G54" s="993">
        <f>'BP FORMAT JUILLET 2023'!F57</f>
        <v>0</v>
      </c>
      <c r="H54" s="993"/>
      <c r="I54" s="993">
        <f>'BP FORMAT JUILLET 2023'!G57</f>
        <v>0</v>
      </c>
      <c r="J54" s="993"/>
    </row>
    <row r="55" spans="1:10" ht="18" hidden="1" customHeight="1" x14ac:dyDescent="0.3">
      <c r="A55" s="997" t="s">
        <v>77</v>
      </c>
      <c r="B55" s="997"/>
      <c r="C55" s="993" t="e">
        <f>'BP FORMAT JUILLET 2023'!C58</f>
        <v>#REF!</v>
      </c>
      <c r="D55" s="993"/>
      <c r="E55" s="714">
        <f>'BP FORMAT JUILLET 2023'!D58</f>
        <v>0</v>
      </c>
      <c r="F55" s="715">
        <f>'BP FORMAT JUILLET 2023'!E58</f>
        <v>3.4500000000000003E-2</v>
      </c>
      <c r="G55" s="993">
        <f>'BP FORMAT JUILLET 2023'!F58</f>
        <v>0</v>
      </c>
      <c r="H55" s="993"/>
      <c r="I55" s="993" t="e">
        <f>'BP FORMAT JUILLET 2023'!G58</f>
        <v>#REF!</v>
      </c>
      <c r="J55" s="993"/>
    </row>
    <row r="56" spans="1:10" ht="18" customHeight="1" x14ac:dyDescent="0.3">
      <c r="A56" s="990" t="s">
        <v>44</v>
      </c>
      <c r="B56" s="990"/>
      <c r="C56" s="998"/>
      <c r="D56" s="998"/>
      <c r="E56" s="690"/>
      <c r="F56" s="689"/>
      <c r="G56" s="996"/>
      <c r="H56" s="996"/>
      <c r="I56" s="996"/>
      <c r="J56" s="996"/>
    </row>
    <row r="57" spans="1:10" ht="19.899999999999999" customHeight="1" x14ac:dyDescent="0.3">
      <c r="A57" s="994" t="s">
        <v>244</v>
      </c>
      <c r="B57" s="994"/>
      <c r="C57" s="993" t="e">
        <f>'BP FORMAT JUILLET 2023'!C58</f>
        <v>#REF!</v>
      </c>
      <c r="D57" s="993"/>
      <c r="E57" s="24"/>
      <c r="F57" s="717">
        <f>'BP FORMAT JUILLET 2023'!E58</f>
        <v>3.4500000000000003E-2</v>
      </c>
      <c r="G57" s="993"/>
      <c r="H57" s="993"/>
      <c r="I57" s="993" t="e">
        <f>'BP FORMAT JUILLET 2023'!G58</f>
        <v>#REF!</v>
      </c>
      <c r="J57" s="993"/>
    </row>
    <row r="58" spans="1:10" ht="1.1499999999999999" hidden="1" customHeight="1" x14ac:dyDescent="0.3">
      <c r="A58" s="994" t="s">
        <v>245</v>
      </c>
      <c r="B58" s="994"/>
      <c r="C58" s="993" t="e">
        <f>'BP FORMAT JUILLET 2023'!C59</f>
        <v>#REF!</v>
      </c>
      <c r="D58" s="993"/>
      <c r="E58" s="717"/>
      <c r="F58" s="715">
        <f>'BP FORMAT JUILLET 2023'!E59</f>
        <v>1.7999999999999999E-2</v>
      </c>
      <c r="G58" s="993"/>
      <c r="H58" s="993"/>
      <c r="I58" s="993" t="e">
        <f>'BP FORMAT JUILLET 2023'!G59</f>
        <v>#REF!</v>
      </c>
      <c r="J58" s="993"/>
    </row>
    <row r="59" spans="1:10" ht="22.9" customHeight="1" x14ac:dyDescent="0.3">
      <c r="A59" s="990" t="s">
        <v>45</v>
      </c>
      <c r="B59" s="990"/>
      <c r="C59" s="996"/>
      <c r="D59" s="996"/>
      <c r="E59" s="690"/>
      <c r="F59" s="689"/>
      <c r="G59" s="996"/>
      <c r="H59" s="996"/>
      <c r="I59" s="996"/>
      <c r="J59" s="996"/>
    </row>
    <row r="60" spans="1:10" ht="16.149999999999999" customHeight="1" x14ac:dyDescent="0.3">
      <c r="A60" s="994" t="s">
        <v>863</v>
      </c>
      <c r="B60" s="994"/>
      <c r="C60" s="993" t="e">
        <f>'BP FORMAT JUILLET 2023'!C61</f>
        <v>#REF!</v>
      </c>
      <c r="D60" s="993"/>
      <c r="E60" s="716"/>
      <c r="F60" s="715">
        <f>'BP FORMAT JUILLET 2023'!E61</f>
        <v>4.3000000000000003E-2</v>
      </c>
      <c r="G60" s="993"/>
      <c r="H60" s="993"/>
      <c r="I60" s="993" t="e">
        <f>'BP FORMAT JUILLET 2023'!G61</f>
        <v>#REF!</v>
      </c>
      <c r="J60" s="993"/>
    </row>
    <row r="61" spans="1:10" ht="18.600000000000001" hidden="1" customHeight="1" x14ac:dyDescent="0.3">
      <c r="A61" s="994" t="s">
        <v>271</v>
      </c>
      <c r="B61" s="994"/>
      <c r="C61" s="993" t="e">
        <f>'BP FORMAT JUILLET 2023'!C62</f>
        <v>#REF!</v>
      </c>
      <c r="D61" s="993"/>
      <c r="E61" s="718">
        <f>'BP FORMAT JUILLET 2023'!D62</f>
        <v>2.4000000000000001E-4</v>
      </c>
      <c r="F61" s="735">
        <f>'BP FORMAT JUILLET 2023'!E62</f>
        <v>3.6000000000000002E-4</v>
      </c>
      <c r="G61" s="993"/>
      <c r="H61" s="993"/>
      <c r="I61" s="993" t="e">
        <f>'BP FORMAT JUILLET 2023'!G62</f>
        <v>#REF!</v>
      </c>
      <c r="J61" s="993"/>
    </row>
    <row r="62" spans="1:10" ht="22.9" customHeight="1" x14ac:dyDescent="0.3">
      <c r="A62" s="990" t="s">
        <v>818</v>
      </c>
      <c r="B62" s="990"/>
      <c r="C62" s="996"/>
      <c r="D62" s="996"/>
      <c r="E62" s="687"/>
      <c r="F62" s="689"/>
      <c r="G62" s="996"/>
      <c r="H62" s="996"/>
      <c r="I62" s="993" t="e">
        <f>'BP FORMAT JUILLET 2023'!G63</f>
        <v>#REF!</v>
      </c>
      <c r="J62" s="993"/>
    </row>
    <row r="63" spans="1:10" ht="22.9" customHeight="1" x14ac:dyDescent="0.3">
      <c r="A63" s="990" t="s">
        <v>47</v>
      </c>
      <c r="B63" s="990"/>
      <c r="C63" s="996"/>
      <c r="D63" s="996"/>
      <c r="E63" s="692"/>
      <c r="F63" s="689"/>
      <c r="G63" s="996"/>
      <c r="H63" s="996"/>
      <c r="I63" s="996"/>
      <c r="J63" s="996"/>
    </row>
    <row r="64" spans="1:10" ht="21.6" customHeight="1" x14ac:dyDescent="0.3">
      <c r="A64" s="999" t="s">
        <v>48</v>
      </c>
      <c r="B64" s="999"/>
      <c r="C64" s="993" t="e">
        <f>'BP FORMAT JUILLET 2023'!C65</f>
        <v>#REF!</v>
      </c>
      <c r="D64" s="993"/>
      <c r="E64" s="714">
        <f>'BP FORMAT JUILLET 2023'!D65</f>
        <v>6.8000000000000005E-2</v>
      </c>
      <c r="F64" s="715"/>
      <c r="G64" s="993" t="e">
        <f>'BP FORMAT JUILLET 2023'!F65</f>
        <v>#REF!</v>
      </c>
      <c r="H64" s="993"/>
      <c r="I64" s="993"/>
      <c r="J64" s="993"/>
    </row>
    <row r="65" spans="1:10" ht="21.6" customHeight="1" x14ac:dyDescent="0.3">
      <c r="A65" s="999" t="s">
        <v>49</v>
      </c>
      <c r="B65" s="999"/>
      <c r="C65" s="993" t="e">
        <f>'BP FORMAT JUILLET 2023'!C66</f>
        <v>#REF!</v>
      </c>
      <c r="D65" s="993"/>
      <c r="E65" s="714">
        <f>'BP FORMAT JUILLET 2023'!D66</f>
        <v>2.9000000000000001E-2</v>
      </c>
      <c r="F65" s="715"/>
      <c r="G65" s="993" t="e">
        <f>'BP FORMAT JUILLET 2023'!F66</f>
        <v>#REF!</v>
      </c>
      <c r="H65" s="993"/>
      <c r="I65" s="993"/>
      <c r="J65" s="993"/>
    </row>
    <row r="66" spans="1:10" ht="19.149999999999999" customHeight="1" x14ac:dyDescent="0.3">
      <c r="A66" s="999" t="s">
        <v>50</v>
      </c>
      <c r="B66" s="999"/>
      <c r="C66" s="993" t="e">
        <f>'BP FORMAT JUILLET 2023'!C67</f>
        <v>#REF!</v>
      </c>
      <c r="D66" s="993"/>
      <c r="E66" s="714">
        <f>'BP FORMAT JUILLET 2023'!D67</f>
        <v>6.8000000000000005E-2</v>
      </c>
      <c r="F66" s="715"/>
      <c r="G66" s="993" t="e">
        <f>'BP FORMAT JUILLET 2023'!F67</f>
        <v>#REF!</v>
      </c>
      <c r="H66" s="993"/>
      <c r="I66" s="993"/>
      <c r="J66" s="993"/>
    </row>
    <row r="67" spans="1:10" ht="15" hidden="1" customHeight="1" x14ac:dyDescent="0.3">
      <c r="A67" s="999" t="s">
        <v>51</v>
      </c>
      <c r="B67" s="999"/>
      <c r="C67" s="993" t="e">
        <f>'BP FORMAT JUILLET 2023'!C68</f>
        <v>#REF!</v>
      </c>
      <c r="D67" s="993"/>
      <c r="E67" s="714">
        <f>'BP FORMAT JUILLET 2023'!D68</f>
        <v>6.8000000000000005E-2</v>
      </c>
      <c r="F67" s="715"/>
      <c r="G67" s="993" t="e">
        <f>'BP FORMAT JUILLET 2023'!F68</f>
        <v>#REF!</v>
      </c>
      <c r="H67" s="993"/>
      <c r="I67" s="993"/>
      <c r="J67" s="993"/>
    </row>
    <row r="68" spans="1:10" ht="26.45" customHeight="1" x14ac:dyDescent="0.3">
      <c r="A68" s="999" t="s">
        <v>52</v>
      </c>
      <c r="B68" s="999"/>
      <c r="C68" s="993" t="e">
        <f>'BP FORMAT JUILLET 2023'!C69</f>
        <v>#REF!</v>
      </c>
      <c r="D68" s="993"/>
      <c r="E68" s="714">
        <f>'BP FORMAT JUILLET 2023'!D69</f>
        <v>2.9000000000000001E-2</v>
      </c>
      <c r="F68" s="715"/>
      <c r="G68" s="993" t="e">
        <f>'BP FORMAT JUILLET 2023'!F69</f>
        <v>#REF!</v>
      </c>
      <c r="H68" s="993"/>
      <c r="I68" s="993"/>
      <c r="J68" s="993"/>
    </row>
    <row r="69" spans="1:10" ht="21.6" customHeight="1" x14ac:dyDescent="0.3">
      <c r="A69" s="990" t="s">
        <v>274</v>
      </c>
      <c r="B69" s="990"/>
      <c r="C69" s="993"/>
      <c r="D69" s="993"/>
      <c r="E69" s="713"/>
      <c r="F69" s="715"/>
      <c r="G69" s="993"/>
      <c r="H69" s="993"/>
      <c r="I69" s="993" t="e">
        <f>'BP FORMAT JUILLET 2023'!G70</f>
        <v>#REF!</v>
      </c>
      <c r="J69" s="993"/>
    </row>
    <row r="70" spans="1:10" ht="27.6" customHeight="1" x14ac:dyDescent="0.3">
      <c r="A70" s="999" t="s">
        <v>53</v>
      </c>
      <c r="B70" s="999"/>
      <c r="C70" s="993" t="e">
        <f>'BP FORMAT JUILLET 2023'!C71</f>
        <v>#REF!</v>
      </c>
      <c r="D70" s="993"/>
      <c r="E70" s="716" t="e">
        <f>'BP FORMAT JUILLET 2023'!D71</f>
        <v>#REF!</v>
      </c>
      <c r="F70" s="715"/>
      <c r="G70" s="1000" t="e">
        <f>'BP FORMAT JUILLET 2023'!F71</f>
        <v>#REF!</v>
      </c>
      <c r="H70" s="1000"/>
      <c r="I70" s="993"/>
      <c r="J70" s="993"/>
    </row>
    <row r="71" spans="1:10" ht="22.9" customHeight="1" x14ac:dyDescent="0.3">
      <c r="A71" s="999" t="s">
        <v>54</v>
      </c>
      <c r="B71" s="999"/>
      <c r="C71" s="993"/>
      <c r="D71" s="993"/>
      <c r="E71" s="713"/>
      <c r="F71" s="715"/>
      <c r="G71" s="1001" t="e">
        <f>'BP FORMAT JUILLET 2023'!F72</f>
        <v>#REF!</v>
      </c>
      <c r="H71" s="1001"/>
      <c r="I71" s="1001" t="e">
        <f>'BP FORMAT JUILLET 2023'!G72</f>
        <v>#REF!</v>
      </c>
      <c r="J71" s="1001"/>
    </row>
    <row r="72" spans="1:10" ht="25.15" customHeight="1" x14ac:dyDescent="0.3">
      <c r="A72" s="988" t="s">
        <v>246</v>
      </c>
      <c r="B72" s="988"/>
      <c r="C72" s="996"/>
      <c r="D72" s="996"/>
      <c r="E72" s="687"/>
      <c r="F72" s="689"/>
      <c r="G72" s="996"/>
      <c r="H72" s="996"/>
      <c r="I72" s="996"/>
      <c r="J72" s="996"/>
    </row>
    <row r="73" spans="1:10" ht="21" hidden="1" customHeight="1" x14ac:dyDescent="0.3">
      <c r="A73" s="999" t="s">
        <v>247</v>
      </c>
      <c r="B73" s="999"/>
      <c r="C73" s="993">
        <f>'BP FORMAT JUILLET 2023'!C74</f>
        <v>0</v>
      </c>
      <c r="D73" s="993"/>
      <c r="E73" s="714">
        <f>'BP FORMAT JUILLET 2023'!D74</f>
        <v>0</v>
      </c>
      <c r="F73" s="715">
        <f>'BP FORMAT JUILLET 2023'!E74</f>
        <v>0</v>
      </c>
      <c r="G73" s="993"/>
      <c r="H73" s="993"/>
      <c r="I73" s="993"/>
      <c r="J73" s="993"/>
    </row>
    <row r="74" spans="1:10" ht="27" customHeight="1" x14ac:dyDescent="0.3">
      <c r="A74" s="999" t="s">
        <v>248</v>
      </c>
      <c r="B74" s="999"/>
      <c r="C74" s="993" t="e">
        <f>'BP FORMAT JUILLET 2023'!C75</f>
        <v>#REF!</v>
      </c>
      <c r="D74" s="993"/>
      <c r="E74" s="714">
        <f>'BP FORMAT JUILLET 2023'!D75</f>
        <v>0</v>
      </c>
      <c r="F74" s="715">
        <f>'BP FORMAT JUILLET 2023'!E75</f>
        <v>0</v>
      </c>
      <c r="G74" s="993"/>
      <c r="H74" s="993"/>
      <c r="I74" s="993" t="e">
        <f>'BP FORMAT JUILLET 2023'!G75</f>
        <v>#REF!</v>
      </c>
      <c r="J74" s="993"/>
    </row>
    <row r="75" spans="1:10" ht="21" hidden="1" customHeight="1" x14ac:dyDescent="0.3">
      <c r="A75" s="999" t="s">
        <v>201</v>
      </c>
      <c r="B75" s="999"/>
      <c r="C75" s="1002">
        <f>'BP FORMAT JUILLET 2023'!C76</f>
        <v>0</v>
      </c>
      <c r="D75" s="1002"/>
      <c r="E75" s="714">
        <f>'BP FORMAT JUILLET 2023'!D76</f>
        <v>0</v>
      </c>
      <c r="F75" s="715">
        <f>'BP FORMAT JUILLET 2023'!E76</f>
        <v>0</v>
      </c>
      <c r="G75" s="1002"/>
      <c r="H75" s="1002"/>
      <c r="I75" s="1002"/>
      <c r="J75" s="1002"/>
    </row>
    <row r="76" spans="1:10" ht="21" hidden="1" customHeight="1" x14ac:dyDescent="0.3">
      <c r="A76" s="908" t="s">
        <v>391</v>
      </c>
      <c r="B76" s="861"/>
      <c r="C76" s="1002">
        <f>'BP FORMAT JUILLET 2023'!C77</f>
        <v>0</v>
      </c>
      <c r="D76" s="1002"/>
      <c r="E76" s="714">
        <f>'BP FORMAT JUILLET 2023'!D77</f>
        <v>0</v>
      </c>
      <c r="F76" s="715">
        <f>'BP FORMAT JUILLET 2023'!E77</f>
        <v>0</v>
      </c>
      <c r="G76" s="1002"/>
      <c r="H76" s="1002"/>
      <c r="I76" s="1002"/>
      <c r="J76" s="1002"/>
    </row>
    <row r="77" spans="1:10" ht="21" customHeight="1" x14ac:dyDescent="0.3">
      <c r="A77" s="1003" t="s">
        <v>220</v>
      </c>
      <c r="B77" s="1003"/>
      <c r="C77" s="996"/>
      <c r="D77" s="996"/>
      <c r="E77" s="692"/>
      <c r="F77" s="689"/>
      <c r="G77" s="993" t="e">
        <f>'BP FORMAT JUILLET 2023'!F78</f>
        <v>#REF!</v>
      </c>
      <c r="H77" s="993"/>
      <c r="I77" s="996"/>
      <c r="J77" s="996"/>
    </row>
    <row r="78" spans="1:10" ht="37.15" hidden="1" customHeight="1" x14ac:dyDescent="0.3">
      <c r="A78" s="999" t="s">
        <v>249</v>
      </c>
      <c r="B78" s="999"/>
      <c r="C78" s="996"/>
      <c r="D78" s="996"/>
      <c r="E78" s="692"/>
      <c r="F78" s="691"/>
      <c r="G78" s="993">
        <f>'BP FORMAT JUILLET 2023'!F79</f>
        <v>0</v>
      </c>
      <c r="H78" s="993"/>
      <c r="I78" s="993">
        <f>'BP FORMAT JUILLET 2023'!G79</f>
        <v>0</v>
      </c>
      <c r="J78" s="993"/>
    </row>
    <row r="79" spans="1:10" ht="37.15" hidden="1" customHeight="1" x14ac:dyDescent="0.3">
      <c r="A79" s="999" t="s">
        <v>250</v>
      </c>
      <c r="B79" s="999"/>
      <c r="C79" s="996"/>
      <c r="D79" s="996"/>
      <c r="E79" s="692"/>
      <c r="F79" s="691"/>
      <c r="G79" s="993">
        <f>'BP FORMAT JUILLET 2023'!F80</f>
        <v>0</v>
      </c>
      <c r="H79" s="993"/>
      <c r="I79" s="996"/>
      <c r="J79" s="996"/>
    </row>
    <row r="80" spans="1:10" ht="37.15" hidden="1" customHeight="1" x14ac:dyDescent="0.3">
      <c r="A80" s="856" t="s">
        <v>272</v>
      </c>
      <c r="B80" s="857"/>
      <c r="C80" s="687"/>
      <c r="D80" s="687"/>
      <c r="E80" s="692"/>
      <c r="F80" s="691"/>
      <c r="G80" s="993"/>
      <c r="H80" s="993"/>
      <c r="I80" s="687"/>
      <c r="J80" s="687"/>
    </row>
    <row r="81" spans="1:10" ht="37.15" hidden="1" customHeight="1" x14ac:dyDescent="0.3">
      <c r="A81" s="861" t="s">
        <v>453</v>
      </c>
      <c r="B81" s="855"/>
      <c r="C81" s="687"/>
      <c r="D81" s="687"/>
      <c r="E81" s="692"/>
      <c r="F81" s="691"/>
      <c r="G81" s="993"/>
      <c r="H81" s="993"/>
      <c r="I81" s="687"/>
      <c r="J81" s="687"/>
    </row>
    <row r="82" spans="1:10" ht="24" customHeight="1" x14ac:dyDescent="0.3">
      <c r="A82" s="1004" t="s">
        <v>64</v>
      </c>
      <c r="B82" s="1004"/>
      <c r="C82" s="1004"/>
      <c r="D82" s="1004"/>
      <c r="E82" s="1004"/>
      <c r="F82" s="1004"/>
      <c r="G82" s="1004"/>
      <c r="H82" s="1004"/>
      <c r="I82" s="993" t="e">
        <f>'BP FORMAT JUILLET 2023'!J83</f>
        <v>#REF!</v>
      </c>
      <c r="J82" s="993"/>
    </row>
    <row r="83" spans="1:10" ht="19.149999999999999" customHeight="1" x14ac:dyDescent="0.3">
      <c r="A83" s="1005" t="s">
        <v>221</v>
      </c>
      <c r="B83" s="1005"/>
      <c r="C83" s="1005"/>
      <c r="D83" s="1005"/>
      <c r="E83" s="1005"/>
      <c r="F83" s="1005"/>
      <c r="G83" s="1005"/>
      <c r="H83" s="1005"/>
      <c r="I83" s="993" t="e">
        <f>'BP FORMAT JUILLET 2023'!J84</f>
        <v>#REF!</v>
      </c>
      <c r="J83" s="993"/>
    </row>
    <row r="84" spans="1:10" ht="14.45" customHeight="1" x14ac:dyDescent="0.3">
      <c r="A84" s="1005" t="s">
        <v>222</v>
      </c>
      <c r="B84" s="1005"/>
      <c r="C84" s="1005"/>
      <c r="D84" s="1005"/>
      <c r="E84" s="1005"/>
      <c r="F84" s="1005"/>
      <c r="G84" s="1005"/>
      <c r="H84" s="1005"/>
      <c r="I84" s="993" t="e">
        <f>'BP FORMAT JUILLET 2023'!J85</f>
        <v>#REF!</v>
      </c>
      <c r="J84" s="993"/>
    </row>
    <row r="85" spans="1:10" ht="19.149999999999999" customHeight="1" x14ac:dyDescent="0.3">
      <c r="A85" s="1005" t="s">
        <v>306</v>
      </c>
      <c r="B85" s="1005"/>
      <c r="C85" s="1005"/>
      <c r="D85" s="1005"/>
      <c r="E85" s="1005"/>
      <c r="F85" s="1005"/>
      <c r="G85" s="1005"/>
      <c r="H85" s="1005"/>
      <c r="I85" s="993" t="e">
        <f>'BP FORMAT JUILLET 2023'!J86</f>
        <v>#REF!</v>
      </c>
      <c r="J85" s="993"/>
    </row>
    <row r="86" spans="1:10" ht="33" customHeight="1" x14ac:dyDescent="0.3">
      <c r="A86" s="1006" t="s">
        <v>223</v>
      </c>
      <c r="B86" s="1006"/>
      <c r="C86" s="1006" t="s">
        <v>59</v>
      </c>
      <c r="D86" s="1006"/>
      <c r="E86" s="1006" t="s">
        <v>66</v>
      </c>
      <c r="F86" s="1006"/>
      <c r="G86" s="1006" t="s">
        <v>60</v>
      </c>
      <c r="H86" s="1006"/>
      <c r="I86" s="996"/>
      <c r="J86" s="996"/>
    </row>
    <row r="87" spans="1:10" ht="19.149999999999999" customHeight="1" x14ac:dyDescent="0.3">
      <c r="A87" s="1006"/>
      <c r="B87" s="1006"/>
      <c r="C87" s="1007" t="e">
        <f>'BP FORMAT JUILLET 2023'!D88</f>
        <v>#REF!</v>
      </c>
      <c r="D87" s="1006"/>
      <c r="E87" s="1008" t="e">
        <f>'BP FORMAT JUILLET 2023'!F88</f>
        <v>#REF!</v>
      </c>
      <c r="F87" s="1006"/>
      <c r="G87" s="1006" t="e">
        <f>'BP FORMAT JUILLET 2023'!H88</f>
        <v>#REF!</v>
      </c>
      <c r="H87" s="1006"/>
      <c r="I87" s="996"/>
      <c r="J87" s="996"/>
    </row>
    <row r="88" spans="1:10" ht="22.9" customHeight="1" x14ac:dyDescent="0.3">
      <c r="A88" s="1004" t="s">
        <v>273</v>
      </c>
      <c r="B88" s="1004"/>
      <c r="C88" s="1004"/>
      <c r="D88" s="1004"/>
      <c r="E88" s="1004"/>
      <c r="F88" s="1004"/>
      <c r="G88" s="1004"/>
      <c r="H88" s="1004"/>
      <c r="I88" s="993" t="e">
        <f>'BP FORMAT JUILLET 2023'!J89</f>
        <v>#REF!</v>
      </c>
      <c r="J88" s="993"/>
    </row>
    <row r="89" spans="1:10" ht="19.149999999999999" customHeight="1" x14ac:dyDescent="0.3">
      <c r="A89" s="1004" t="s">
        <v>57</v>
      </c>
      <c r="B89" s="1004"/>
      <c r="C89" s="1004"/>
      <c r="D89" s="1004"/>
      <c r="E89" s="1004"/>
      <c r="F89" s="1004"/>
      <c r="G89" s="1004"/>
      <c r="H89" s="1004"/>
      <c r="I89" s="993" t="e">
        <f>'BP FORMAT JUILLET 2023'!J91</f>
        <v>#REF!</v>
      </c>
      <c r="J89" s="993"/>
    </row>
    <row r="90" spans="1:10" customFormat="1" ht="25.9" customHeight="1" x14ac:dyDescent="0.25">
      <c r="A90" s="59"/>
      <c r="B90" s="719" t="s">
        <v>63</v>
      </c>
      <c r="C90" s="719" t="s">
        <v>276</v>
      </c>
      <c r="D90" s="1015" t="s">
        <v>278</v>
      </c>
      <c r="E90" s="1015"/>
      <c r="F90" s="1015" t="s">
        <v>279</v>
      </c>
      <c r="G90" s="1015"/>
      <c r="H90" s="366"/>
      <c r="I90" s="366"/>
      <c r="J90" s="173"/>
    </row>
    <row r="91" spans="1:10" customFormat="1" ht="25.9" customHeight="1" x14ac:dyDescent="0.25">
      <c r="A91" s="720" t="s">
        <v>277</v>
      </c>
      <c r="B91" s="693" t="e">
        <f>'BP FORMAT JUILLET 2023'!B93</f>
        <v>#REF!</v>
      </c>
      <c r="C91" s="693"/>
      <c r="D91" s="365" t="s">
        <v>101</v>
      </c>
      <c r="E91" s="693"/>
      <c r="F91" s="727" t="s">
        <v>302</v>
      </c>
      <c r="G91" s="693"/>
      <c r="H91" s="365"/>
      <c r="I91" s="366"/>
      <c r="J91" s="173"/>
    </row>
    <row r="92" spans="1:10" customFormat="1" ht="25.9" customHeight="1" x14ac:dyDescent="0.25">
      <c r="A92" s="721" t="s">
        <v>281</v>
      </c>
      <c r="B92" s="694" t="e">
        <f>'BP FORMAT JUILLET 2023'!B94</f>
        <v>#REF!</v>
      </c>
      <c r="C92" s="694"/>
      <c r="D92" s="365" t="s">
        <v>94</v>
      </c>
      <c r="E92" s="693"/>
      <c r="F92" s="727" t="s">
        <v>235</v>
      </c>
      <c r="G92" s="693"/>
      <c r="H92" s="366"/>
      <c r="I92" s="366"/>
      <c r="J92" s="173"/>
    </row>
    <row r="93" spans="1:10" customFormat="1" ht="25.9" customHeight="1" x14ac:dyDescent="0.25">
      <c r="A93" s="722" t="s">
        <v>179</v>
      </c>
      <c r="B93" s="694" t="e">
        <f>'BP FORMAT JUILLET 2023'!B95</f>
        <v>#REF!</v>
      </c>
      <c r="C93" s="694"/>
      <c r="D93" s="365" t="s">
        <v>234</v>
      </c>
      <c r="E93" s="693"/>
      <c r="F93" s="727" t="s">
        <v>234</v>
      </c>
      <c r="G93" s="693"/>
      <c r="H93" s="366"/>
      <c r="I93" s="366"/>
      <c r="J93" s="173"/>
    </row>
    <row r="94" spans="1:10" customFormat="1" ht="25.9" customHeight="1" x14ac:dyDescent="0.25">
      <c r="A94" s="722" t="s">
        <v>61</v>
      </c>
      <c r="B94" s="694" t="e">
        <f>'BP FORMAT JUILLET 2023'!B96</f>
        <v>#REF!</v>
      </c>
      <c r="C94" s="694"/>
      <c r="D94" s="366"/>
      <c r="E94" s="366"/>
      <c r="F94" s="728"/>
      <c r="G94" s="366"/>
      <c r="H94" s="366"/>
      <c r="I94" s="366"/>
      <c r="J94" s="173"/>
    </row>
    <row r="95" spans="1:10" customFormat="1" ht="15" customHeight="1" x14ac:dyDescent="0.25">
      <c r="A95" s="821" t="s">
        <v>58</v>
      </c>
      <c r="B95" s="821"/>
      <c r="C95" s="821"/>
      <c r="D95" s="821"/>
      <c r="E95" s="821"/>
      <c r="F95" s="729"/>
      <c r="G95" s="23"/>
      <c r="H95" s="23"/>
      <c r="I95" s="23"/>
      <c r="J95" s="23"/>
    </row>
    <row r="96" spans="1:10" s="23" customFormat="1" ht="12" customHeight="1" x14ac:dyDescent="0.25">
      <c r="A96" s="43" t="s">
        <v>62</v>
      </c>
      <c r="F96" s="729"/>
    </row>
    <row r="97" spans="1:9" s="23" customFormat="1" ht="12" customHeight="1" x14ac:dyDescent="0.25">
      <c r="A97" s="23" t="s">
        <v>307</v>
      </c>
      <c r="F97" s="729"/>
    </row>
    <row r="98" spans="1:9" s="23" customFormat="1" ht="12" hidden="1" customHeight="1" x14ac:dyDescent="0.25">
      <c r="A98" s="43"/>
      <c r="F98" s="729"/>
    </row>
    <row r="99" spans="1:9" s="23" customFormat="1" ht="12" hidden="1" customHeight="1" x14ac:dyDescent="0.3">
      <c r="A99" s="695" t="s">
        <v>90</v>
      </c>
      <c r="B99" s="235"/>
      <c r="C99" s="696">
        <v>7.4999999999999997E-3</v>
      </c>
      <c r="D99" s="215" t="e">
        <f>ROUND(J34*C99,2)</f>
        <v>#REF!</v>
      </c>
      <c r="E99" s="215"/>
      <c r="F99" s="700"/>
      <c r="G99" s="214"/>
      <c r="H99" s="24"/>
      <c r="I99" s="24"/>
    </row>
    <row r="100" spans="1:9" ht="30.75" hidden="1" customHeight="1" x14ac:dyDescent="0.3">
      <c r="A100" s="695" t="s">
        <v>91</v>
      </c>
      <c r="B100" s="235"/>
      <c r="C100" s="698">
        <f>(2.4-0.95)%</f>
        <v>1.4499999999999999E-2</v>
      </c>
      <c r="D100" s="215" t="e">
        <f>ROUND(C60*C100,2)</f>
        <v>#REF!</v>
      </c>
    </row>
    <row r="101" spans="1:9" ht="30.75" hidden="1" customHeight="1" x14ac:dyDescent="0.3">
      <c r="A101" s="699" t="s">
        <v>239</v>
      </c>
      <c r="B101" s="235"/>
      <c r="D101" s="215" t="e">
        <f>D99+D100</f>
        <v>#REF!</v>
      </c>
    </row>
    <row r="102" spans="1:9" ht="30.75" hidden="1" customHeight="1" x14ac:dyDescent="0.3">
      <c r="A102" s="695" t="s">
        <v>240</v>
      </c>
      <c r="C102" s="215"/>
    </row>
    <row r="103" spans="1:9" ht="30.75" hidden="1" customHeight="1" x14ac:dyDescent="0.3">
      <c r="A103" s="695"/>
      <c r="C103" s="215"/>
    </row>
    <row r="104" spans="1:9" ht="30.75" hidden="1" customHeight="1" x14ac:dyDescent="0.3">
      <c r="A104" s="695" t="s">
        <v>92</v>
      </c>
      <c r="B104" s="241"/>
      <c r="C104" s="215">
        <v>1.7000000000000001E-2</v>
      </c>
      <c r="D104" s="215" t="e">
        <f>ROUND(C64*C104,2)</f>
        <v>#REF!</v>
      </c>
    </row>
    <row r="105" spans="1:9" ht="30.75" hidden="1" customHeight="1" x14ac:dyDescent="0.3">
      <c r="A105" s="695"/>
      <c r="B105" s="241"/>
      <c r="C105" s="215"/>
    </row>
    <row r="106" spans="1:9" ht="30.75" hidden="1" customHeight="1" x14ac:dyDescent="0.3">
      <c r="A106" s="695" t="s">
        <v>241</v>
      </c>
      <c r="B106" s="241"/>
      <c r="C106" s="215"/>
    </row>
    <row r="107" spans="1:9" ht="30.75" hidden="1" customHeight="1" x14ac:dyDescent="0.3">
      <c r="B107" s="232"/>
      <c r="C107" s="250"/>
      <c r="F107" s="730"/>
    </row>
    <row r="108" spans="1:9" ht="30.75" hidden="1" customHeight="1" x14ac:dyDescent="0.3">
      <c r="A108" s="695" t="s">
        <v>90</v>
      </c>
      <c r="B108" s="235"/>
      <c r="C108" s="696">
        <v>7.4999999999999997E-3</v>
      </c>
      <c r="D108" s="215" t="e">
        <f>ROUND(J34*C108,2)</f>
        <v>#REF!</v>
      </c>
      <c r="E108" s="214"/>
    </row>
    <row r="109" spans="1:9" ht="30.75" hidden="1" customHeight="1" x14ac:dyDescent="0.3">
      <c r="A109" s="695" t="s">
        <v>91</v>
      </c>
      <c r="B109" s="235"/>
      <c r="C109" s="698">
        <f>(2.4)%</f>
        <v>2.4E-2</v>
      </c>
      <c r="D109" s="215" t="e">
        <f>ROUND(C60*C109,2)</f>
        <v>#REF!</v>
      </c>
      <c r="E109" s="700"/>
    </row>
    <row r="110" spans="1:9" ht="30.75" hidden="1" customHeight="1" x14ac:dyDescent="0.3">
      <c r="A110" s="699" t="s">
        <v>242</v>
      </c>
      <c r="B110" s="235"/>
      <c r="E110" s="700"/>
    </row>
    <row r="111" spans="1:9" ht="30.75" hidden="1" customHeight="1" x14ac:dyDescent="0.3">
      <c r="A111" s="695" t="s">
        <v>240</v>
      </c>
      <c r="C111" s="215"/>
      <c r="E111" s="215" t="e">
        <f>D109+D108-D113</f>
        <v>#REF!</v>
      </c>
    </row>
    <row r="112" spans="1:9" ht="30.75" hidden="1" customHeight="1" x14ac:dyDescent="0.3">
      <c r="A112" s="695"/>
      <c r="C112" s="215"/>
      <c r="E112" s="700"/>
    </row>
    <row r="113" spans="1:12" ht="30.75" hidden="1" customHeight="1" x14ac:dyDescent="0.3">
      <c r="A113" s="695" t="s">
        <v>92</v>
      </c>
      <c r="B113" s="241"/>
      <c r="C113" s="215">
        <v>1.7000000000000001E-2</v>
      </c>
      <c r="D113" s="215" t="e">
        <f>ROUND(C64*C113,2)</f>
        <v>#REF!</v>
      </c>
    </row>
    <row r="114" spans="1:12" ht="30.75" hidden="1" customHeight="1" x14ac:dyDescent="0.3">
      <c r="C114" s="697"/>
      <c r="D114" s="697"/>
      <c r="E114" s="697"/>
    </row>
    <row r="115" spans="1:12" ht="30.75" hidden="1" customHeight="1" x14ac:dyDescent="0.3">
      <c r="B115" s="235"/>
    </row>
    <row r="116" spans="1:12" ht="30.75" customHeight="1" x14ac:dyDescent="0.3">
      <c r="B116" s="235"/>
    </row>
    <row r="117" spans="1:12" ht="30.75" customHeight="1" x14ac:dyDescent="0.3">
      <c r="B117" s="235"/>
    </row>
    <row r="118" spans="1:12" ht="30.75" customHeight="1" x14ac:dyDescent="0.3">
      <c r="A118" s="59"/>
      <c r="B118" s="662"/>
      <c r="C118" s="662"/>
      <c r="D118" s="1014" t="s">
        <v>84</v>
      </c>
      <c r="E118" s="1014"/>
      <c r="F118" s="1014"/>
      <c r="G118" s="1014"/>
      <c r="H118" s="1014"/>
    </row>
    <row r="119" spans="1:12" ht="18" customHeight="1" x14ac:dyDescent="0.3">
      <c r="A119"/>
      <c r="B119"/>
      <c r="C119"/>
      <c r="D119" s="795"/>
      <c r="E119" s="795"/>
      <c r="F119" s="731"/>
      <c r="G119" s="662"/>
      <c r="H119" s="662"/>
      <c r="I119" s="25"/>
    </row>
    <row r="120" spans="1:12" customFormat="1" ht="36" customHeight="1" x14ac:dyDescent="0.25">
      <c r="D120" s="989" t="s">
        <v>87</v>
      </c>
      <c r="E120" s="989"/>
      <c r="F120" s="732" t="s">
        <v>32</v>
      </c>
      <c r="G120" s="723" t="s">
        <v>280</v>
      </c>
      <c r="H120" s="723" t="s">
        <v>95</v>
      </c>
      <c r="I120" s="25"/>
      <c r="J120" s="25"/>
    </row>
    <row r="121" spans="1:12" customFormat="1" ht="39.6" customHeight="1" x14ac:dyDescent="0.25">
      <c r="D121" s="1009" t="s">
        <v>88</v>
      </c>
      <c r="E121" s="1009"/>
      <c r="F121" s="736" t="e">
        <f>'BP FORMAT JUILLET 2023'!C121</f>
        <v>#REF!</v>
      </c>
      <c r="G121" s="702">
        <f>'BP FORMAT JUILLET 2023'!D121</f>
        <v>1E-3</v>
      </c>
      <c r="H121" s="701" t="e">
        <f t="shared" ref="H121:H129" si="2">ROUND(F121*G121,2)</f>
        <v>#REF!</v>
      </c>
      <c r="I121" s="25"/>
      <c r="J121" s="25"/>
      <c r="K121" s="27"/>
      <c r="L121" s="27"/>
    </row>
    <row r="122" spans="1:12" customFormat="1" ht="39.6" customHeight="1" x14ac:dyDescent="0.25">
      <c r="D122" s="1009" t="s">
        <v>270</v>
      </c>
      <c r="E122" s="1009"/>
      <c r="F122" s="736">
        <f>'BP FORMAT JUILLET 2023'!C122</f>
        <v>0</v>
      </c>
      <c r="G122" s="702">
        <f>'BP FORMAT JUILLET 2023'!D122</f>
        <v>5.0000000000000001E-3</v>
      </c>
      <c r="H122" s="701">
        <f t="shared" si="2"/>
        <v>0</v>
      </c>
      <c r="I122" s="25"/>
      <c r="J122" s="25"/>
      <c r="K122" s="27"/>
      <c r="L122" s="27"/>
    </row>
    <row r="123" spans="1:12" customFormat="1" ht="39.6" customHeight="1" x14ac:dyDescent="0.25">
      <c r="D123" s="1009" t="s">
        <v>72</v>
      </c>
      <c r="E123" s="1009"/>
      <c r="F123" s="736" t="e">
        <f>'BP FORMAT JUILLET 2023'!C123</f>
        <v>#REF!</v>
      </c>
      <c r="G123" s="702">
        <f>'BP FORMAT JUILLET 2023'!D123</f>
        <v>3.2000000000000001E-2</v>
      </c>
      <c r="H123" s="701" t="e">
        <f t="shared" si="2"/>
        <v>#REF!</v>
      </c>
      <c r="I123" s="25"/>
      <c r="J123" s="25"/>
      <c r="K123" s="27"/>
      <c r="L123" s="27"/>
    </row>
    <row r="124" spans="1:12" customFormat="1" ht="39.6" customHeight="1" x14ac:dyDescent="0.25">
      <c r="D124" s="1009" t="s">
        <v>85</v>
      </c>
      <c r="E124" s="1009"/>
      <c r="F124" s="736" t="e">
        <f>'BP FORMAT JUILLET 2023'!C124</f>
        <v>#REF!</v>
      </c>
      <c r="G124" s="702">
        <f>'BP FORMAT JUILLET 2023'!D124</f>
        <v>3.0000000000000001E-3</v>
      </c>
      <c r="H124" s="701" t="e">
        <f t="shared" si="2"/>
        <v>#REF!</v>
      </c>
      <c r="I124" s="25"/>
      <c r="J124" s="25"/>
      <c r="K124" s="27"/>
      <c r="L124" s="27"/>
    </row>
    <row r="125" spans="1:12" customFormat="1" ht="39.6" customHeight="1" x14ac:dyDescent="0.25">
      <c r="D125" s="1009" t="s">
        <v>217</v>
      </c>
      <c r="E125" s="1009"/>
      <c r="F125" s="736" t="e">
        <f>'BP FORMAT JUILLET 2023'!C125</f>
        <v>#REF!</v>
      </c>
      <c r="G125" s="702">
        <f>'BP FORMAT JUILLET 2023'!D125</f>
        <v>0.08</v>
      </c>
      <c r="H125" s="701" t="e">
        <f t="shared" si="2"/>
        <v>#REF!</v>
      </c>
      <c r="I125" s="27"/>
      <c r="J125" s="25"/>
      <c r="K125" s="27"/>
      <c r="L125" s="27"/>
    </row>
    <row r="126" spans="1:12" customFormat="1" ht="39.6" customHeight="1" x14ac:dyDescent="0.25">
      <c r="D126" s="1009" t="s">
        <v>73</v>
      </c>
      <c r="E126" s="1009"/>
      <c r="F126" s="736">
        <f>'BP FORMAT JUILLET 2023'!C126</f>
        <v>0</v>
      </c>
      <c r="G126" s="702">
        <f>'BP FORMAT JUILLET 2023'!D126</f>
        <v>0.2</v>
      </c>
      <c r="H126" s="701">
        <f t="shared" si="2"/>
        <v>0</v>
      </c>
      <c r="I126" s="27"/>
      <c r="J126" s="27"/>
      <c r="K126" s="27"/>
      <c r="L126" s="27"/>
    </row>
    <row r="127" spans="1:12" customFormat="1" ht="39.6" customHeight="1" x14ac:dyDescent="0.25">
      <c r="D127" s="1009" t="s">
        <v>826</v>
      </c>
      <c r="E127" s="1009"/>
      <c r="F127" s="736" t="e">
        <f>'BP FORMAT JUILLET 2023'!C127</f>
        <v>#REF!</v>
      </c>
      <c r="G127" s="702">
        <f>'BP FORMAT JUILLET 2023'!D127</f>
        <v>1.6000000000000001E-4</v>
      </c>
      <c r="H127" s="701" t="e">
        <f t="shared" si="2"/>
        <v>#REF!</v>
      </c>
      <c r="I127" s="27"/>
      <c r="J127" s="27"/>
      <c r="K127" s="27"/>
      <c r="L127" s="27"/>
    </row>
    <row r="128" spans="1:12" customFormat="1" ht="39.6" customHeight="1" x14ac:dyDescent="0.25">
      <c r="D128" s="1009" t="s">
        <v>827</v>
      </c>
      <c r="E128" s="1009"/>
      <c r="F128" s="736" t="e">
        <f>'BP FORMAT JUILLET 2023'!C128</f>
        <v>#REF!</v>
      </c>
      <c r="G128" s="702">
        <f>'BP FORMAT JUILLET 2023'!D128</f>
        <v>1.6800000000000002E-2</v>
      </c>
      <c r="H128" s="701" t="e">
        <f t="shared" si="2"/>
        <v>#REF!</v>
      </c>
      <c r="I128" s="27"/>
      <c r="J128" s="27"/>
      <c r="K128" s="27"/>
      <c r="L128" s="27"/>
    </row>
    <row r="129" spans="1:12" customFormat="1" ht="39.6" customHeight="1" x14ac:dyDescent="0.25">
      <c r="D129" s="1009" t="s">
        <v>78</v>
      </c>
      <c r="E129" s="1009"/>
      <c r="F129" s="736">
        <f>'BP FORMAT JUILLET 2023'!C129</f>
        <v>0</v>
      </c>
      <c r="G129" s="702">
        <f>'BP FORMAT JUILLET 2023'!D129</f>
        <v>1.2300000000000002E-2</v>
      </c>
      <c r="H129" s="701">
        <f t="shared" si="2"/>
        <v>0</v>
      </c>
      <c r="I129" s="27"/>
      <c r="J129" s="27"/>
      <c r="K129" s="27"/>
      <c r="L129" s="27"/>
    </row>
    <row r="130" spans="1:12" customFormat="1" ht="39.6" customHeight="1" x14ac:dyDescent="0.25">
      <c r="A130" s="27"/>
      <c r="B130" s="27"/>
      <c r="D130" s="27"/>
      <c r="F130" s="733"/>
      <c r="G130" s="702"/>
      <c r="H130" s="701" t="e">
        <f>SUM(H121:H129)</f>
        <v>#REF!</v>
      </c>
      <c r="I130" s="27"/>
      <c r="J130" s="27"/>
      <c r="K130" s="27"/>
      <c r="L130" s="27"/>
    </row>
    <row r="131" spans="1:12" customFormat="1" ht="33.6" customHeight="1" x14ac:dyDescent="0.3">
      <c r="A131" s="217"/>
      <c r="B131" s="217"/>
      <c r="C131" s="214"/>
      <c r="D131" s="215"/>
      <c r="E131" s="215"/>
      <c r="F131" s="734"/>
      <c r="G131" s="27"/>
      <c r="I131" s="27"/>
      <c r="J131" s="27"/>
    </row>
    <row r="132" spans="1:12" customFormat="1" x14ac:dyDescent="0.3">
      <c r="A132" s="217"/>
      <c r="B132" s="217"/>
      <c r="C132" s="214"/>
      <c r="D132" s="215"/>
      <c r="E132" s="215"/>
      <c r="F132" s="700"/>
      <c r="G132" s="214"/>
      <c r="H132" s="24"/>
      <c r="I132" s="24"/>
      <c r="J132" s="27"/>
    </row>
  </sheetData>
  <mergeCells count="258">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 ref="A86:B87"/>
    <mergeCell ref="C86:D86"/>
    <mergeCell ref="E86:F86"/>
    <mergeCell ref="G86:H86"/>
    <mergeCell ref="I86:J86"/>
    <mergeCell ref="C87:D87"/>
    <mergeCell ref="E87:F87"/>
    <mergeCell ref="G87:H87"/>
    <mergeCell ref="I87:J87"/>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J37"/>
    <mergeCell ref="A31:F31"/>
    <mergeCell ref="A32:F32"/>
    <mergeCell ref="A33:F33"/>
    <mergeCell ref="A34:B34"/>
    <mergeCell ref="D34:I34"/>
    <mergeCell ref="A35:J35"/>
    <mergeCell ref="A25:F25"/>
    <mergeCell ref="A26:F26"/>
    <mergeCell ref="A27:F27"/>
    <mergeCell ref="A28:F28"/>
    <mergeCell ref="A29:F29"/>
    <mergeCell ref="A30:F30"/>
    <mergeCell ref="A19:F19"/>
    <mergeCell ref="A20:F20"/>
    <mergeCell ref="A21:F21"/>
    <mergeCell ref="A22:F22"/>
    <mergeCell ref="A23:F23"/>
    <mergeCell ref="A24:F24"/>
    <mergeCell ref="A13:J13"/>
    <mergeCell ref="A14:F14"/>
    <mergeCell ref="A15:F15"/>
    <mergeCell ref="A16:F16"/>
    <mergeCell ref="A17:F17"/>
    <mergeCell ref="A18:F18"/>
    <mergeCell ref="B9:D9"/>
    <mergeCell ref="G9:J9"/>
    <mergeCell ref="C10:D10"/>
    <mergeCell ref="F10:G10"/>
    <mergeCell ref="F11:G11"/>
    <mergeCell ref="B12:D12"/>
    <mergeCell ref="B6:D6"/>
    <mergeCell ref="G6:J6"/>
    <mergeCell ref="B7:D7"/>
    <mergeCell ref="G7:J7"/>
    <mergeCell ref="B8:D8"/>
    <mergeCell ref="G8:J8"/>
    <mergeCell ref="A3:D3"/>
    <mergeCell ref="F3:J3"/>
    <mergeCell ref="B4:D4"/>
    <mergeCell ref="G4:J4"/>
    <mergeCell ref="B5:D5"/>
    <mergeCell ref="G5:J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39370078740157483" bottom="0.19685039370078741"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23</vt:i4>
      </vt:variant>
      <vt:variant>
        <vt:lpstr>Plages nommées</vt:lpstr>
      </vt:variant>
      <vt:variant>
        <vt:i4>1</vt:i4>
      </vt:variant>
    </vt:vector>
  </HeadingPairs>
  <TitlesOfParts>
    <vt:vector size="24" baseType="lpstr">
      <vt:lpstr>PRESENTATION </vt:lpstr>
      <vt:lpstr>INTRODUCTION </vt:lpstr>
      <vt:lpstr>EXPLICATIONS FEUILLE HEURES SUP</vt:lpstr>
      <vt:lpstr>ENONCE </vt:lpstr>
      <vt:lpstr>MASQUE DE SAISIE </vt:lpstr>
      <vt:lpstr>BP VERSION JANVIER 2023</vt:lpstr>
      <vt:lpstr>BP FORMAT JUILLET 2023</vt:lpstr>
      <vt:lpstr>FEUILLE DE CONTROLE </vt:lpstr>
      <vt:lpstr>BP 2025</vt:lpstr>
      <vt:lpstr>HEURES SUPPLEMENTAIRES </vt:lpstr>
      <vt:lpstr>TABLE DES TAUX 2025 </vt:lpstr>
      <vt:lpstr>TR Matrice Net Imposable </vt:lpstr>
      <vt:lpstr>TR Matrice Cotisations </vt:lpstr>
      <vt:lpstr>TRAME DE BP AMELIOREE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2025-12-09T17:12:22Z</cp:lastPrinted>
  <dcterms:created xsi:type="dcterms:W3CDTF">2019-09-02T13:46:41Z</dcterms:created>
  <dcterms:modified xsi:type="dcterms:W3CDTF">2025-12-09T17:13:18Z</dcterms:modified>
</cp:coreProperties>
</file>